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Z:\Eelarve- ja strateegiaosakond\Periood 2021+ planeerimine\Šveitsi koostööprogramm\Support Measure Proposal\Lõpptaotlus\Ametlikuks esitamiseks\"/>
    </mc:Choice>
  </mc:AlternateContent>
  <xr:revisionPtr revIDLastSave="0" documentId="8_{1A23881A-9362-41A3-879E-DD525276C67A}" xr6:coauthVersionLast="47" xr6:coauthVersionMax="47" xr10:uidLastSave="{00000000-0000-0000-0000-000000000000}"/>
  <bookViews>
    <workbookView xWindow="-120" yWindow="-120" windowWidth="29040" windowHeight="15840" xr2:uid="{00000000-000D-0000-FFFF-FFFF00000000}"/>
  </bookViews>
  <sheets>
    <sheet name="Budget"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4" i="1" l="1"/>
  <c r="Q41" i="1"/>
  <c r="I72" i="1"/>
  <c r="K71" i="1"/>
  <c r="O70" i="1"/>
  <c r="M70" i="1"/>
  <c r="K70" i="1"/>
  <c r="I70" i="1"/>
  <c r="O69" i="1"/>
  <c r="K69" i="1"/>
  <c r="M69" i="1" s="1"/>
  <c r="I69" i="1"/>
  <c r="K68" i="1"/>
  <c r="M68" i="1" s="1"/>
  <c r="O68" i="1" s="1"/>
  <c r="I68" i="1"/>
  <c r="E68" i="1" s="1"/>
  <c r="I67" i="1"/>
  <c r="K66" i="1"/>
  <c r="M66" i="1" s="1"/>
  <c r="O66" i="1" s="1"/>
  <c r="I66" i="1"/>
  <c r="I65" i="1"/>
  <c r="K65" i="1" s="1"/>
  <c r="M65" i="1" s="1"/>
  <c r="I63" i="1"/>
  <c r="I62" i="1"/>
  <c r="O61" i="1"/>
  <c r="M61" i="1"/>
  <c r="K61" i="1"/>
  <c r="I61" i="1"/>
  <c r="O60" i="1"/>
  <c r="M60" i="1"/>
  <c r="K60" i="1"/>
  <c r="I60" i="1"/>
  <c r="E60" i="1"/>
  <c r="I59" i="1"/>
  <c r="K58" i="1"/>
  <c r="M58" i="1" s="1"/>
  <c r="O58" i="1" s="1"/>
  <c r="I58" i="1"/>
  <c r="E58" i="1" s="1"/>
  <c r="I57" i="1"/>
  <c r="K57" i="1" s="1"/>
  <c r="M57" i="1" s="1"/>
  <c r="O57" i="1" s="1"/>
  <c r="M56" i="1"/>
  <c r="O56" i="1" s="1"/>
  <c r="K56" i="1"/>
  <c r="I56" i="1"/>
  <c r="I55" i="1"/>
  <c r="O54" i="1"/>
  <c r="M54" i="1"/>
  <c r="K54" i="1"/>
  <c r="I54" i="1"/>
  <c r="E54" i="1" s="1"/>
  <c r="M53" i="1"/>
  <c r="O53" i="1" s="1"/>
  <c r="K53" i="1"/>
  <c r="E53" i="1" s="1"/>
  <c r="E52" i="1"/>
  <c r="K51" i="1"/>
  <c r="M51" i="1" s="1"/>
  <c r="I51" i="1"/>
  <c r="K50" i="1"/>
  <c r="M50" i="1" s="1"/>
  <c r="O50" i="1" s="1"/>
  <c r="I50" i="1"/>
  <c r="K49" i="1"/>
  <c r="I49" i="1"/>
  <c r="I47" i="1"/>
  <c r="K47" i="1" s="1"/>
  <c r="I46" i="1"/>
  <c r="E46" i="1" s="1"/>
  <c r="K45" i="1"/>
  <c r="M45" i="1" s="1"/>
  <c r="O45" i="1" s="1"/>
  <c r="I45" i="1"/>
  <c r="I43" i="1"/>
  <c r="M47" i="1" l="1"/>
  <c r="O47" i="1" s="1"/>
  <c r="O51" i="1"/>
  <c r="E51" i="1" s="1"/>
  <c r="E45" i="1"/>
  <c r="E56" i="1"/>
  <c r="E61" i="1"/>
  <c r="E50" i="1"/>
  <c r="K62" i="1"/>
  <c r="M62" i="1" s="1"/>
  <c r="O62" i="1" s="1"/>
  <c r="K48" i="1"/>
  <c r="E69" i="1"/>
  <c r="E70" i="1"/>
  <c r="E57" i="1"/>
  <c r="E66" i="1"/>
  <c r="E71" i="1"/>
  <c r="E72" i="1"/>
  <c r="K43" i="1"/>
  <c r="I44" i="1"/>
  <c r="M49" i="1"/>
  <c r="K59" i="1"/>
  <c r="M59" i="1" s="1"/>
  <c r="O59" i="1" s="1"/>
  <c r="O55" i="1" s="1"/>
  <c r="K63" i="1"/>
  <c r="M63" i="1" s="1"/>
  <c r="O63" i="1" s="1"/>
  <c r="I64" i="1"/>
  <c r="O65" i="1"/>
  <c r="K67" i="1"/>
  <c r="M67" i="1" s="1"/>
  <c r="O67" i="1" s="1"/>
  <c r="M71" i="1"/>
  <c r="O71" i="1" s="1"/>
  <c r="K72" i="1"/>
  <c r="M72" i="1" s="1"/>
  <c r="O72" i="1" s="1"/>
  <c r="I48" i="1"/>
  <c r="I42" i="1"/>
  <c r="I41" i="1" s="1"/>
  <c r="E67" i="1" l="1"/>
  <c r="E63" i="1"/>
  <c r="E62" i="1"/>
  <c r="E47" i="1"/>
  <c r="O64" i="1"/>
  <c r="O49" i="1"/>
  <c r="O48" i="1" s="1"/>
  <c r="M48" i="1"/>
  <c r="E65" i="1"/>
  <c r="E64" i="1" s="1"/>
  <c r="E59" i="1"/>
  <c r="K55" i="1"/>
  <c r="M55" i="1"/>
  <c r="K64" i="1"/>
  <c r="K44" i="1"/>
  <c r="K42" i="1" s="1"/>
  <c r="M43" i="1"/>
  <c r="K41" i="1" l="1"/>
  <c r="E55" i="1"/>
  <c r="E49" i="1"/>
  <c r="E48" i="1" s="1"/>
  <c r="M44" i="1"/>
  <c r="M42" i="1" s="1"/>
  <c r="M41" i="1" s="1"/>
  <c r="O43" i="1"/>
  <c r="O44" i="1" l="1"/>
  <c r="E44" i="1" s="1"/>
  <c r="E43" i="1"/>
  <c r="E42" i="1" l="1"/>
  <c r="O42" i="1"/>
  <c r="O41" i="1" s="1"/>
  <c r="E41" i="1" l="1"/>
  <c r="G41" i="1" s="1"/>
  <c r="P11" i="1" l="1"/>
  <c r="P10" i="1"/>
  <c r="E35" i="1"/>
  <c r="E14" i="1"/>
  <c r="E11" i="1"/>
  <c r="E10" i="1"/>
  <c r="E29" i="1" l="1"/>
  <c r="E40" i="1"/>
  <c r="E13" i="1"/>
  <c r="E9" i="1"/>
  <c r="O16" i="1"/>
  <c r="M16" i="1"/>
  <c r="K16" i="1"/>
  <c r="I16" i="1"/>
  <c r="E16" i="1"/>
  <c r="E15" i="1" s="1"/>
  <c r="Q11" i="1"/>
  <c r="Q10" i="1"/>
  <c r="Q9" i="1" s="1"/>
  <c r="Q14" i="1"/>
  <c r="Q13" i="1" s="1"/>
  <c r="O36" i="1"/>
  <c r="M36" i="1"/>
  <c r="K15" i="1" l="1"/>
  <c r="Q15" i="1"/>
  <c r="Q8" i="1" s="1"/>
  <c r="E8" i="1"/>
  <c r="Q18" i="1"/>
  <c r="Q73" i="1" s="1"/>
  <c r="N11" i="1"/>
  <c r="O11" i="1" s="1"/>
  <c r="L11" i="1"/>
  <c r="M11" i="1" s="1"/>
  <c r="J11" i="1"/>
  <c r="K11" i="1" s="1"/>
  <c r="H11" i="1"/>
  <c r="I11" i="1" s="1"/>
  <c r="N10" i="1"/>
  <c r="O10" i="1" s="1"/>
  <c r="L10" i="1"/>
  <c r="M10" i="1" s="1"/>
  <c r="M9" i="1" s="1"/>
  <c r="J10" i="1"/>
  <c r="K10" i="1" s="1"/>
  <c r="K9" i="1" s="1"/>
  <c r="H10" i="1"/>
  <c r="I10" i="1" s="1"/>
  <c r="G8" i="1" l="1"/>
  <c r="O15" i="1"/>
  <c r="O9" i="1"/>
  <c r="I15" i="1"/>
  <c r="I9" i="1"/>
  <c r="M15" i="1"/>
  <c r="F40" i="1" l="1"/>
  <c r="D40" i="1"/>
  <c r="K36" i="1"/>
  <c r="I39" i="1"/>
  <c r="E39" i="1" s="1"/>
  <c r="F39" i="1" s="1"/>
  <c r="I38" i="1"/>
  <c r="E38" i="1" s="1"/>
  <c r="F38" i="1" s="1"/>
  <c r="I37" i="1"/>
  <c r="F35" i="1"/>
  <c r="E34" i="1"/>
  <c r="F34" i="1" s="1"/>
  <c r="O33" i="1"/>
  <c r="M33" i="1"/>
  <c r="K33" i="1"/>
  <c r="I33" i="1"/>
  <c r="O32" i="1"/>
  <c r="M32" i="1"/>
  <c r="K32" i="1"/>
  <c r="I32" i="1"/>
  <c r="E31" i="1"/>
  <c r="F31" i="1" s="1"/>
  <c r="F30" i="1"/>
  <c r="F29" i="1"/>
  <c r="O28" i="1"/>
  <c r="M28" i="1"/>
  <c r="K28" i="1"/>
  <c r="I28" i="1"/>
  <c r="O27" i="1"/>
  <c r="O21" i="1" s="1"/>
  <c r="M27" i="1"/>
  <c r="M21" i="1" s="1"/>
  <c r="K27" i="1"/>
  <c r="K21" i="1" s="1"/>
  <c r="I27" i="1"/>
  <c r="E25" i="1"/>
  <c r="F25" i="1" s="1"/>
  <c r="O24" i="1"/>
  <c r="M24" i="1"/>
  <c r="K24" i="1"/>
  <c r="I24" i="1"/>
  <c r="I23" i="1"/>
  <c r="E23" i="1" s="1"/>
  <c r="F23" i="1" s="1"/>
  <c r="O22" i="1"/>
  <c r="M22" i="1"/>
  <c r="M19" i="1" s="1"/>
  <c r="K22" i="1"/>
  <c r="I22" i="1"/>
  <c r="E20" i="1"/>
  <c r="F20" i="1" s="1"/>
  <c r="K19" i="1" l="1"/>
  <c r="I21" i="1"/>
  <c r="I19" i="1" s="1"/>
  <c r="I26" i="1"/>
  <c r="M26" i="1"/>
  <c r="M18" i="1" s="1"/>
  <c r="O26" i="1"/>
  <c r="O19" i="1"/>
  <c r="K26" i="1"/>
  <c r="K18" i="1" s="1"/>
  <c r="E32" i="1"/>
  <c r="F32" i="1" s="1"/>
  <c r="F21" i="1"/>
  <c r="E22" i="1"/>
  <c r="F22" i="1" s="1"/>
  <c r="E33" i="1"/>
  <c r="F33" i="1" s="1"/>
  <c r="E24" i="1"/>
  <c r="F24" i="1" s="1"/>
  <c r="E28" i="1"/>
  <c r="F28" i="1" s="1"/>
  <c r="E27" i="1"/>
  <c r="E37" i="1"/>
  <c r="O18" i="1" l="1"/>
  <c r="I36" i="1"/>
  <c r="I18" i="1" s="1"/>
  <c r="E19" i="1"/>
  <c r="F19" i="1" s="1"/>
  <c r="F27" i="1"/>
  <c r="E36" i="1"/>
  <c r="F36" i="1" s="1"/>
  <c r="F37" i="1"/>
  <c r="F26" i="1" l="1"/>
  <c r="E26" i="1"/>
  <c r="E5" i="1" l="1"/>
  <c r="O5" i="1"/>
  <c r="N5" i="1"/>
  <c r="M5" i="1"/>
  <c r="L5" i="1"/>
  <c r="K5" i="1"/>
  <c r="J5" i="1"/>
  <c r="I5" i="1"/>
  <c r="H5" i="1"/>
  <c r="D5" i="1"/>
  <c r="I14" i="1"/>
  <c r="I13" i="1" s="1"/>
  <c r="I8" i="1" s="1"/>
  <c r="I73" i="1" s="1"/>
  <c r="Q5" i="1" l="1"/>
  <c r="P5" i="1"/>
  <c r="O14" i="1"/>
  <c r="O13" i="1" s="1"/>
  <c r="O8" i="1" s="1"/>
  <c r="O73" i="1" s="1"/>
  <c r="M14" i="1"/>
  <c r="M13" i="1" s="1"/>
  <c r="M8" i="1" s="1"/>
  <c r="M73" i="1" s="1"/>
  <c r="K14" i="1"/>
  <c r="K13" i="1" s="1"/>
  <c r="K8" i="1" s="1"/>
  <c r="K73" i="1" s="1"/>
  <c r="E18" i="1" l="1"/>
  <c r="E73" i="1" s="1"/>
  <c r="G18" i="1" l="1"/>
  <c r="G73" i="1" s="1"/>
  <c r="F7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4" authorId="0" shapeId="0" xr:uid="{9196168A-D0C3-404B-8B2C-B02F7F0248FB}">
      <text>
        <r>
          <rPr>
            <sz val="9"/>
            <color indexed="81"/>
            <rFont val="Arial"/>
            <family val="2"/>
          </rPr>
          <t xml:space="preserve">-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Budget. It remains the responsibility of the Partner State to verify the correct calculations.</t>
        </r>
      </text>
    </comment>
    <comment ref="C5" authorId="0" shapeId="0" xr:uid="{40C9393F-F6B7-4466-821E-2FD5B571DC92}">
      <text>
        <r>
          <rPr>
            <sz val="9"/>
            <color indexed="81"/>
            <rFont val="Tahoma"/>
            <family val="2"/>
          </rPr>
          <t xml:space="preserve">Please select currency </t>
        </r>
      </text>
    </comment>
    <comment ref="A6" authorId="0" shapeId="0" xr:uid="{B1E5F4FB-53D2-4329-A374-E1FD8D318F82}">
      <text>
        <r>
          <rPr>
            <sz val="9"/>
            <color indexed="81"/>
            <rFont val="Tahoma"/>
            <family val="2"/>
          </rPr>
          <t>Budget No should follow the same logic as indicated in the template, i.e.
integer Numbers = main budget headings
1.1, 1.2, 1.3 etc = budget items
N/A= budget sub-items
Please use the same logic when adding additional budget headings / items</t>
        </r>
      </text>
    </comment>
    <comment ref="C7" authorId="0" shapeId="0" xr:uid="{00000000-0006-0000-0000-000001000000}">
      <text>
        <r>
          <rPr>
            <sz val="9"/>
            <color indexed="81"/>
            <rFont val="Tahoma"/>
            <family val="2"/>
          </rPr>
          <t>1 CHF = amount in local currency
Please indicate the exchange rate as defined in the Budget of the Support Measure Agreement</t>
        </r>
      </text>
    </comment>
    <comment ref="F8" authorId="0" shapeId="0" xr:uid="{00000000-0006-0000-0000-00000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C10" authorId="0" shapeId="0" xr:uid="{5BA74F90-14D1-4AD8-BF10-69BD3DF1DA9F}">
      <text>
        <r>
          <rPr>
            <sz val="9"/>
            <color indexed="81"/>
            <rFont val="Tahoma"/>
            <family val="2"/>
          </rPr>
          <t>Indicate relevant unit, e.g. monthly salary</t>
        </r>
      </text>
    </comment>
    <comment ref="D10" authorId="0" shapeId="0" xr:uid="{3E4D0A59-D59C-446E-9BE3-834BF3F1DBB9}">
      <text>
        <r>
          <rPr>
            <sz val="9"/>
            <color indexed="81"/>
            <rFont val="Tahoma"/>
            <family val="2"/>
          </rPr>
          <t>Indicate number of units, e.g. number of months</t>
        </r>
      </text>
    </comment>
    <comment ref="H10" authorId="0" shapeId="0" xr:uid="{B0FAE514-E19C-4999-8B28-402489C67289}">
      <text>
        <r>
          <rPr>
            <sz val="9"/>
            <color indexed="81"/>
            <rFont val="Tahoma"/>
            <family val="2"/>
          </rPr>
          <t>Indicate number of units, e.g. number of months</t>
        </r>
      </text>
    </comment>
    <comment ref="J10" authorId="0" shapeId="0" xr:uid="{E7A6476E-B83B-4B41-BC59-5D092058A689}">
      <text>
        <r>
          <rPr>
            <sz val="9"/>
            <color indexed="81"/>
            <rFont val="Tahoma"/>
            <family val="2"/>
          </rPr>
          <t>Indicate number of units, e.g. number of months</t>
        </r>
      </text>
    </comment>
    <comment ref="L10" authorId="0" shapeId="0" xr:uid="{AB5742A7-50D9-4B0C-8E25-7D26EB252EEE}">
      <text>
        <r>
          <rPr>
            <sz val="9"/>
            <color indexed="81"/>
            <rFont val="Tahoma"/>
            <family val="2"/>
          </rPr>
          <t>Indicate number of units, e.g. number of months</t>
        </r>
      </text>
    </comment>
    <comment ref="N10" authorId="0" shapeId="0" xr:uid="{74C6EBC5-D66E-4DA4-9BB4-9B0BF7822631}">
      <text>
        <r>
          <rPr>
            <sz val="9"/>
            <color indexed="81"/>
            <rFont val="Tahoma"/>
            <family val="2"/>
          </rPr>
          <t>Indicate number of units, e.g. number of months</t>
        </r>
      </text>
    </comment>
    <comment ref="P10" authorId="0" shapeId="0" xr:uid="{AE51E9B0-82DB-453D-B47C-7CC8AB006774}">
      <text>
        <r>
          <rPr>
            <sz val="9"/>
            <color indexed="81"/>
            <rFont val="Tahoma"/>
            <family val="2"/>
          </rPr>
          <t>Indicate number of units, e.g. number of months</t>
        </r>
      </text>
    </comment>
    <comment ref="H11" authorId="0" shapeId="0" xr:uid="{E489F247-D478-4665-BE01-5DC1F8DA3A35}">
      <text>
        <r>
          <rPr>
            <sz val="9"/>
            <color indexed="81"/>
            <rFont val="Tahoma"/>
            <family val="2"/>
          </rPr>
          <t>Indicate number of units, e.g. number of months</t>
        </r>
      </text>
    </comment>
    <comment ref="J11" authorId="0" shapeId="0" xr:uid="{6F761057-332B-48CA-B3BF-A87F47760FD3}">
      <text>
        <r>
          <rPr>
            <sz val="9"/>
            <color indexed="81"/>
            <rFont val="Tahoma"/>
            <family val="2"/>
          </rPr>
          <t>Indicate number of units, e.g. number of months</t>
        </r>
      </text>
    </comment>
    <comment ref="L11" authorId="0" shapeId="0" xr:uid="{A82BB509-F27D-4782-BBE3-14C57BD6289E}">
      <text>
        <r>
          <rPr>
            <sz val="9"/>
            <color indexed="81"/>
            <rFont val="Tahoma"/>
            <family val="2"/>
          </rPr>
          <t>Indicate number of units, e.g. number of months</t>
        </r>
      </text>
    </comment>
    <comment ref="N11" authorId="0" shapeId="0" xr:uid="{61526F74-B745-4A6E-8F1F-AB94A75382D8}">
      <text>
        <r>
          <rPr>
            <sz val="9"/>
            <color indexed="81"/>
            <rFont val="Tahoma"/>
            <family val="2"/>
          </rPr>
          <t>Indicate number of units, e.g. number of months</t>
        </r>
      </text>
    </comment>
    <comment ref="P11" authorId="0" shapeId="0" xr:uid="{2A3D62EE-737F-43B8-B3A4-B70FA361D384}">
      <text>
        <r>
          <rPr>
            <sz val="9"/>
            <color indexed="81"/>
            <rFont val="Tahoma"/>
            <family val="2"/>
          </rPr>
          <t>Indicate number of units, e.g. number of months</t>
        </r>
      </text>
    </comment>
    <comment ref="H12" authorId="0" shapeId="0" xr:uid="{CB886209-091B-4853-978E-59B166C26382}">
      <text>
        <r>
          <rPr>
            <sz val="9"/>
            <color indexed="81"/>
            <rFont val="Tahoma"/>
            <family val="2"/>
          </rPr>
          <t>Indicate number of units, e.g. number of months</t>
        </r>
      </text>
    </comment>
    <comment ref="J12" authorId="0" shapeId="0" xr:uid="{4B792436-4157-4BA8-AC6D-979F7EF3ED67}">
      <text>
        <r>
          <rPr>
            <sz val="9"/>
            <color indexed="81"/>
            <rFont val="Tahoma"/>
            <family val="2"/>
          </rPr>
          <t>Indicate number of units, e.g. number of months</t>
        </r>
      </text>
    </comment>
    <comment ref="L12" authorId="0" shapeId="0" xr:uid="{9CCB535D-2BBB-429B-A657-955F10495D36}">
      <text>
        <r>
          <rPr>
            <sz val="9"/>
            <color indexed="81"/>
            <rFont val="Tahoma"/>
            <family val="2"/>
          </rPr>
          <t>Indicate number of units, e.g. number of months</t>
        </r>
      </text>
    </comment>
    <comment ref="N12" authorId="0" shapeId="0" xr:uid="{16F7C622-62ED-4915-ADFF-A0E128169342}">
      <text>
        <r>
          <rPr>
            <sz val="9"/>
            <color indexed="81"/>
            <rFont val="Tahoma"/>
            <family val="2"/>
          </rPr>
          <t>Indicate number of units, e.g. number of months</t>
        </r>
      </text>
    </comment>
    <comment ref="P12" authorId="0" shapeId="0" xr:uid="{4C10D6A9-7368-4DFF-AA4E-39C7E7A970B2}">
      <text>
        <r>
          <rPr>
            <sz val="9"/>
            <color indexed="81"/>
            <rFont val="Tahoma"/>
            <family val="2"/>
          </rPr>
          <t>Indicate number of units, e.g. number of months</t>
        </r>
      </text>
    </comment>
    <comment ref="F18" authorId="0" shapeId="0" xr:uid="{00000000-0006-0000-0000-00000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F41" authorId="0" shapeId="0" xr:uid="{08821A7B-2CD1-4A15-BBB4-F9E08B3279B5}">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sharedStrings.xml><?xml version="1.0" encoding="utf-8"?>
<sst xmlns="http://schemas.openxmlformats.org/spreadsheetml/2006/main" count="196" uniqueCount="163">
  <si>
    <t>Date:</t>
  </si>
  <si>
    <t>Support Measure Name (according to SMP)</t>
  </si>
  <si>
    <t xml:space="preserve">Budget </t>
  </si>
  <si>
    <t>Instructions</t>
  </si>
  <si>
    <t>EUR</t>
  </si>
  <si>
    <t>%</t>
  </si>
  <si>
    <t>CHF</t>
  </si>
  <si>
    <t>No</t>
  </si>
  <si>
    <t>Budget items</t>
  </si>
  <si>
    <t>Unit costs</t>
  </si>
  <si>
    <t>Quantity</t>
  </si>
  <si>
    <t>Budget 
100%</t>
  </si>
  <si>
    <t>Co-financing rate (CH co-financing)</t>
  </si>
  <si>
    <t>Swiss contribution (co-financing)</t>
  </si>
  <si>
    <t>Budget 
Year 1</t>
  </si>
  <si>
    <t>Budget 
Year 2</t>
  </si>
  <si>
    <t>Budget 
Year 3</t>
  </si>
  <si>
    <t>Budget 
Year 4</t>
  </si>
  <si>
    <t>Budget 
Year 5</t>
  </si>
  <si>
    <t>Exchange rate CHF/EUR</t>
  </si>
  <si>
    <t>1</t>
  </si>
  <si>
    <t>Programme Management Costs</t>
  </si>
  <si>
    <t>Personnel</t>
  </si>
  <si>
    <t>1,1,1</t>
  </si>
  <si>
    <t>Programme Manager in the Budget and Strategy Department of the MoE (responsible for general coordination of the implementation of the Programme according to the Regulations)</t>
  </si>
  <si>
    <t>0,15 FTE for 52 months</t>
  </si>
  <si>
    <t>1,1,2</t>
  </si>
  <si>
    <t>Programme Manager in the Biodiversity Protection Department of the MoE (responsible for the content of the Programme)</t>
  </si>
  <si>
    <t>1,2</t>
  </si>
  <si>
    <t>Expenses of State Shared Service Centre for verification of incurred expenditure (including 0,3 FTE for 52 months, transport cost)</t>
  </si>
  <si>
    <t>1,3</t>
  </si>
  <si>
    <t>Information and communication</t>
  </si>
  <si>
    <t>1,3,1</t>
  </si>
  <si>
    <t>Communication activities (including launching and a closing event)</t>
  </si>
  <si>
    <t>1,4</t>
  </si>
  <si>
    <t>Miscellanous</t>
  </si>
  <si>
    <t>1,4,1</t>
  </si>
  <si>
    <t>Meetings (of the Support Measure Steering Committee, Task Force etc)</t>
  </si>
  <si>
    <t>1,4,2</t>
  </si>
  <si>
    <t>Assignment (study trips, site visits, on-the-spot checks etc)</t>
  </si>
  <si>
    <t>Programme Component 1 "Development of innovative monitoring technolo-gies/solutions and improvement of Environmental data-bases and systems" (operator Environmental Agency)</t>
  </si>
  <si>
    <t>Management costs Programme Component 1</t>
  </si>
  <si>
    <t>2,1,1</t>
  </si>
  <si>
    <t>Personnel: Project Manager (responsible for the project team management and the implementation of the actions, preparation of the public procurements, documentation and budget, organizing study trips, communication and translation of the documents)</t>
  </si>
  <si>
    <t>1 FTE for 48 months</t>
  </si>
  <si>
    <t>2,1,2</t>
  </si>
  <si>
    <r>
      <t>Overheads</t>
    </r>
    <r>
      <rPr>
        <vertAlign val="superscript"/>
        <sz val="10"/>
        <rFont val="Arial Narrow"/>
        <family val="2"/>
        <charset val="186"/>
      </rPr>
      <t>1)</t>
    </r>
  </si>
  <si>
    <t>15% of Component 1 personnel costs</t>
  </si>
  <si>
    <t>2,1,3</t>
  </si>
  <si>
    <t>Transport</t>
  </si>
  <si>
    <t>0,3 eur/km</t>
  </si>
  <si>
    <t>14000 km</t>
  </si>
  <si>
    <t>2,1,4</t>
  </si>
  <si>
    <t>Study trips</t>
  </si>
  <si>
    <t>study trip, cost per person</t>
  </si>
  <si>
    <t>2,1,5</t>
  </si>
  <si>
    <t>Translation of the documents</t>
  </si>
  <si>
    <t>30 eur/page</t>
  </si>
  <si>
    <t>2,1,6</t>
  </si>
  <si>
    <t>Communication</t>
  </si>
  <si>
    <t>year</t>
  </si>
  <si>
    <t>Activity 1: Development of new monitoring methods</t>
  </si>
  <si>
    <t>2,2,1</t>
  </si>
  <si>
    <t>Personnel: Monitoring Specialist (responsible for development, testing and implementation of new monitoring methodologies and equipment, including 3D bird radar, involving volunteers in wildlife monitoring and creating the network of volunteers)</t>
  </si>
  <si>
    <t>2,2,2</t>
  </si>
  <si>
    <t xml:space="preserve">Monitoring assistant in the Environmental Agency (responsible for the training of Artificial Intelligence and field works in implementation of Random Encounter Model). </t>
  </si>
  <si>
    <t>2,2,3</t>
  </si>
  <si>
    <t>Development of new monitoring methods + technology purchase, including technology for volunteers</t>
  </si>
  <si>
    <t>2,2,4</t>
  </si>
  <si>
    <t>Purchasing mobile 3D bird radar</t>
  </si>
  <si>
    <t>2,2,5</t>
  </si>
  <si>
    <t>Mandatory maintenance of the 3D bird radar</t>
  </si>
  <si>
    <t>2,2,6</t>
  </si>
  <si>
    <t>Field works (Implementation of new methods in wildlife monitoring, including Random Encounter Method)</t>
  </si>
  <si>
    <t>2,2,7</t>
  </si>
  <si>
    <t>Accommodation</t>
  </si>
  <si>
    <t>70 eur/night</t>
  </si>
  <si>
    <t>60 nights</t>
  </si>
  <si>
    <t>2,2,8</t>
  </si>
  <si>
    <t xml:space="preserve">Communication costs, including involving citizen in wildlife monitoring, organizing trainings for volunteers and fees for lecturers, catering and faciltiy renting costs, </t>
  </si>
  <si>
    <t>2,2,9</t>
  </si>
  <si>
    <t xml:space="preserve">Study trips </t>
  </si>
  <si>
    <t>Activity 2: Development of IT systems</t>
  </si>
  <si>
    <t>2,3,1</t>
  </si>
  <si>
    <t>Personnel: IT system specialist in the Environmental Agency (responsible for the input of the IT developments and testing)</t>
  </si>
  <si>
    <t>2,3,2</t>
  </si>
  <si>
    <t xml:space="preserve">Personnel: IT project manager in the IT Centre of the Ministry of the Environment (responsible for the developments of IT systems) </t>
  </si>
  <si>
    <t>2,3,3</t>
  </si>
  <si>
    <t xml:space="preserve">Personnel: Data manager in the Environmental Agency (responsible for the data management collected by the Environment Board from Programme component 2 and also participates in the development of IT systems). </t>
  </si>
  <si>
    <t>2,3,4</t>
  </si>
  <si>
    <t>Development of IT systems (IT Centre of the Ministry of the Environment)</t>
  </si>
  <si>
    <t>75 eur/hour</t>
  </si>
  <si>
    <t>3</t>
  </si>
  <si>
    <t>Programme Component 2 “Implementation of a systematic assessment of the social and conservation outcomes of protected areas” (operator Environmental Board)</t>
  </si>
  <si>
    <t>Management costs Programme Component 2</t>
  </si>
  <si>
    <t>3,1,1</t>
  </si>
  <si>
    <t>Personnel: General Programme Manager (responsible for the general coordination of Component 2)</t>
  </si>
  <si>
    <t>0,5 FTEs for 48 months</t>
  </si>
  <si>
    <t>3,1,2</t>
  </si>
  <si>
    <r>
      <t>Overheads</t>
    </r>
    <r>
      <rPr>
        <vertAlign val="superscript"/>
        <sz val="10"/>
        <rFont val="Arial Narrow"/>
        <family val="2"/>
        <charset val="186"/>
      </rPr>
      <t>2)</t>
    </r>
  </si>
  <si>
    <t>15% of Component 2 personnel costs</t>
  </si>
  <si>
    <t>3,1,3</t>
  </si>
  <si>
    <t>FTE/year</t>
  </si>
  <si>
    <t>3,1,4</t>
  </si>
  <si>
    <t>study trip</t>
  </si>
  <si>
    <t>3,1,5</t>
  </si>
  <si>
    <t>Communication (advertisements, translations, etc)</t>
  </si>
  <si>
    <t>Activity 1: Conservation Management Effectiveness Assessment</t>
  </si>
  <si>
    <t>3,2,1</t>
  </si>
  <si>
    <t>Personnel: Programme Coordinator (responsible for the coordination of Activity 1)</t>
  </si>
  <si>
    <t>1 FTE for 45 months</t>
  </si>
  <si>
    <t>3,2,2</t>
  </si>
  <si>
    <t>Personnel: Experts (responsible for conducting assessments)</t>
  </si>
  <si>
    <t>2 FTEs for 39 months</t>
  </si>
  <si>
    <t>3,2,3</t>
  </si>
  <si>
    <t>Personnel: Analyst (responsible of the compilation of the assessment tool and statistical analysis, making summaries of the assessement)</t>
  </si>
  <si>
    <t>0,4 FTEs for 40 months</t>
  </si>
  <si>
    <t>3,2,4</t>
  </si>
  <si>
    <t>Digital Report (design)</t>
  </si>
  <si>
    <t>3,2,5</t>
  </si>
  <si>
    <t>Communication (advertisements, translations, rooms, etc)</t>
  </si>
  <si>
    <t>3,2,6</t>
  </si>
  <si>
    <t>Seminars, trainings</t>
  </si>
  <si>
    <t>training</t>
  </si>
  <si>
    <t>Activity 2: Conservation Management Planning</t>
  </si>
  <si>
    <t>3,3,1</t>
  </si>
  <si>
    <t>Personnel: Analyst (responsible of habitat data analysis and making summaries)</t>
  </si>
  <si>
    <t>0,3 FTEs for 40 months</t>
  </si>
  <si>
    <t>3,3,2</t>
  </si>
  <si>
    <t>Personnel: Programme Coordinators (responsible for the coordination of Activity 2 in different regions)</t>
  </si>
  <si>
    <t>1,25 FTEs for 48 months</t>
  </si>
  <si>
    <t>3,3,3</t>
  </si>
  <si>
    <t>Personnel: Experts of Habitat Action Plans (responsible for compiling habitat action plans)</t>
  </si>
  <si>
    <t>1 FTE for 43 months</t>
  </si>
  <si>
    <t>3,3,4</t>
  </si>
  <si>
    <t>Personnel: Experts of Conservation Management Plans (responsible for compiling conservation management plans)</t>
  </si>
  <si>
    <t>3 FTEs for 48 months</t>
  </si>
  <si>
    <t>3,3,5</t>
  </si>
  <si>
    <t>Personnel: Data specialist (responsible for habitat data)</t>
  </si>
  <si>
    <t>0,5 FTEs for 40 months</t>
  </si>
  <si>
    <t>3,3,6</t>
  </si>
  <si>
    <t>Inventories, research, expert opinions</t>
  </si>
  <si>
    <t>3,3,7</t>
  </si>
  <si>
    <t>3,3,8</t>
  </si>
  <si>
    <t>Activity 3: Species Protection</t>
  </si>
  <si>
    <t>3,4,1</t>
  </si>
  <si>
    <t>Personnel: Analyst (responsible of species' data analysis and making summaries)</t>
  </si>
  <si>
    <t>3,4,2</t>
  </si>
  <si>
    <t>Personnel: Programme Coordinator (responsible for the coordination of Activity 3)</t>
  </si>
  <si>
    <t>0,25 FTEs for 48 months</t>
  </si>
  <si>
    <t>3,4,3</t>
  </si>
  <si>
    <t>Personnel: Experts of Species Protection Action Plans (responsible for compiling species protection plans)</t>
  </si>
  <si>
    <t>2 FTEs for 48 months</t>
  </si>
  <si>
    <t>3,4,4</t>
  </si>
  <si>
    <t>Personnel: Expert of protection categories of species (responsible for analysing the protection categories)</t>
  </si>
  <si>
    <t>3,4,5</t>
  </si>
  <si>
    <t>Personnel: Data specialist (responsible for species data)</t>
  </si>
  <si>
    <t>3,4,6</t>
  </si>
  <si>
    <t>3,4,7</t>
  </si>
  <si>
    <t>Communication (advertisements, translations, rooms, newspaper articles, etc)</t>
  </si>
  <si>
    <t>3,4,8</t>
  </si>
  <si>
    <t>TOTAL</t>
  </si>
  <si>
    <t>1) Overheads are calculated according to the internal process in the Environmental Agency and it includes costs related to personnel (general trainings not connected to direct project activities, medicine, working clothes, health inspection and health insurance), rent for the office premises (rent and utilities), administration costs (tools, communication costs, office supplies, inventory), cost of support service (personnel service, legal service, financial service, administrative service, document management, customer service, communication, general management)
2) Overheads are calculated according to the policies of the Environmental Board and include the certificate of employment, office supplies, office furniture, mobile service cost and mobile phone compensation, IT equipment, workwear according to the post in the institution, internal business trip costs (transport not included), compulsory medical examination and health improvement cost, general trainings, property management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</si>
</sst>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Arial"/>
      <family val="2"/>
    </font>
    <font>
      <sz val="10"/>
      <color theme="1"/>
      <name val="Arial"/>
      <family val="2"/>
    </font>
    <font>
      <b/>
      <sz val="10"/>
      <name val="Arial Narrow"/>
      <family val="2"/>
      <charset val="186"/>
    </font>
    <font>
      <b/>
      <sz val="10"/>
      <name val="Arial Narrow"/>
      <family val="2"/>
    </font>
    <font>
      <sz val="10"/>
      <name val="Arial Narrow"/>
      <family val="2"/>
    </font>
    <font>
      <b/>
      <sz val="10"/>
      <color theme="1"/>
      <name val="Arial Narrow"/>
      <family val="2"/>
    </font>
    <font>
      <sz val="10"/>
      <color theme="1"/>
      <name val="Arial Narrow"/>
      <family val="2"/>
    </font>
    <font>
      <sz val="10"/>
      <name val="Arial"/>
      <family val="2"/>
    </font>
    <font>
      <b/>
      <sz val="16"/>
      <color theme="1"/>
      <name val="Arial"/>
      <family val="2"/>
    </font>
    <font>
      <sz val="9"/>
      <color indexed="81"/>
      <name val="Tahoma"/>
      <family val="2"/>
    </font>
    <font>
      <b/>
      <sz val="10"/>
      <color rgb="FFFF0000"/>
      <name val="Arial"/>
      <family val="2"/>
    </font>
    <font>
      <sz val="9"/>
      <color indexed="81"/>
      <name val="Arial"/>
      <family val="2"/>
    </font>
    <font>
      <i/>
      <sz val="9"/>
      <color indexed="81"/>
      <name val="Arial"/>
      <family val="2"/>
    </font>
    <font>
      <sz val="10"/>
      <name val="Arial Narrow"/>
      <family val="2"/>
      <charset val="186"/>
    </font>
    <font>
      <sz val="10"/>
      <color rgb="FFFF0000"/>
      <name val="Arial Narrow"/>
      <family val="2"/>
    </font>
    <font>
      <vertAlign val="superscript"/>
      <sz val="10"/>
      <name val="Arial Narrow"/>
      <family val="2"/>
      <charset val="186"/>
    </font>
  </fonts>
  <fills count="10">
    <fill>
      <patternFill patternType="none"/>
    </fill>
    <fill>
      <patternFill patternType="gray125"/>
    </fill>
    <fill>
      <patternFill patternType="solid">
        <fgColor rgb="FFFCFECE"/>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A9CCEF"/>
        <bgColor indexed="64"/>
      </patternFill>
    </fill>
    <fill>
      <patternFill patternType="solid">
        <fgColor theme="4" tint="0.59999389629810485"/>
        <bgColor indexed="64"/>
      </patternFill>
    </fill>
    <fill>
      <patternFill patternType="solid">
        <fgColor rgb="FFF2F8EE"/>
        <bgColor indexed="64"/>
      </patternFill>
    </fill>
    <fill>
      <patternFill patternType="solid">
        <fgColor theme="5"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bottom style="thin">
        <color auto="1"/>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127">
    <xf numFmtId="0" fontId="0" fillId="0" borderId="0" xfId="0"/>
    <xf numFmtId="2" fontId="2" fillId="2" borderId="1" xfId="0" applyNumberFormat="1" applyFont="1" applyFill="1" applyBorder="1" applyAlignment="1">
      <alignment horizontal="center" vertical="center" wrapText="1"/>
    </xf>
    <xf numFmtId="0" fontId="0" fillId="3" borderId="0" xfId="0" applyFill="1"/>
    <xf numFmtId="49" fontId="4" fillId="0" borderId="1" xfId="0" applyNumberFormat="1" applyFont="1" applyBorder="1" applyAlignment="1" applyProtection="1">
      <alignment vertical="top" wrapText="1"/>
      <protection locked="0"/>
    </xf>
    <xf numFmtId="4" fontId="6" fillId="0" borderId="1" xfId="0" applyNumberFormat="1" applyFont="1" applyBorder="1"/>
    <xf numFmtId="0" fontId="0" fillId="4" borderId="0" xfId="0" applyFill="1"/>
    <xf numFmtId="14" fontId="6" fillId="4" borderId="0" xfId="0" applyNumberFormat="1" applyFont="1" applyFill="1"/>
    <xf numFmtId="0" fontId="6" fillId="4" borderId="0" xfId="0" applyFont="1" applyFill="1" applyAlignment="1">
      <alignment horizontal="right"/>
    </xf>
    <xf numFmtId="0" fontId="1" fillId="4" borderId="0" xfId="0" applyFont="1" applyFill="1" applyAlignment="1">
      <alignment horizontal="center"/>
    </xf>
    <xf numFmtId="0" fontId="0" fillId="4" borderId="0" xfId="0" applyFill="1" applyAlignment="1">
      <alignment horizontal="center"/>
    </xf>
    <xf numFmtId="0" fontId="7" fillId="4" borderId="0" xfId="0" applyFont="1" applyFill="1" applyAlignment="1">
      <alignment horizontal="center"/>
    </xf>
    <xf numFmtId="0" fontId="8" fillId="4" borderId="0" xfId="0" applyFont="1" applyFill="1" applyAlignment="1">
      <alignment horizontal="center" vertical="center"/>
    </xf>
    <xf numFmtId="2" fontId="2" fillId="2" borderId="3" xfId="0" applyNumberFormat="1" applyFont="1" applyFill="1" applyBorder="1" applyAlignment="1">
      <alignment horizontal="center" vertical="center" wrapText="1"/>
    </xf>
    <xf numFmtId="4" fontId="5" fillId="0" borderId="3" xfId="0" applyNumberFormat="1" applyFont="1" applyBorder="1"/>
    <xf numFmtId="4" fontId="3" fillId="5" borderId="3" xfId="0" applyNumberFormat="1" applyFont="1" applyFill="1" applyBorder="1" applyProtection="1">
      <protection locked="0"/>
    </xf>
    <xf numFmtId="2" fontId="2" fillId="2" borderId="8" xfId="0" applyNumberFormat="1" applyFont="1" applyFill="1" applyBorder="1" applyAlignment="1">
      <alignment horizontal="center" vertical="center" wrapText="1"/>
    </xf>
    <xf numFmtId="49" fontId="4" fillId="5" borderId="1" xfId="0" applyNumberFormat="1" applyFont="1" applyFill="1" applyBorder="1" applyAlignment="1" applyProtection="1">
      <alignment vertical="top" wrapText="1"/>
      <protection locked="0"/>
    </xf>
    <xf numFmtId="4" fontId="6" fillId="5" borderId="1" xfId="0" applyNumberFormat="1" applyFont="1" applyFill="1" applyBorder="1"/>
    <xf numFmtId="2" fontId="2" fillId="6" borderId="4" xfId="0" applyNumberFormat="1" applyFont="1" applyFill="1" applyBorder="1" applyAlignment="1">
      <alignment horizontal="center" vertical="center" wrapText="1"/>
    </xf>
    <xf numFmtId="2" fontId="2" fillId="6" borderId="6" xfId="0" applyNumberFormat="1" applyFont="1" applyFill="1" applyBorder="1" applyAlignment="1">
      <alignment horizontal="center" vertical="center" wrapText="1"/>
    </xf>
    <xf numFmtId="49" fontId="3" fillId="0" borderId="12" xfId="0" applyNumberFormat="1" applyFont="1" applyBorder="1" applyAlignment="1" applyProtection="1">
      <alignment vertical="top" wrapText="1"/>
      <protection locked="0"/>
    </xf>
    <xf numFmtId="4" fontId="3" fillId="0" borderId="12" xfId="0" applyNumberFormat="1" applyFont="1" applyBorder="1"/>
    <xf numFmtId="4" fontId="5" fillId="0" borderId="12" xfId="0" applyNumberFormat="1" applyFont="1" applyBorder="1"/>
    <xf numFmtId="4" fontId="5" fillId="0" borderId="14" xfId="0" applyNumberFormat="1" applyFont="1" applyBorder="1"/>
    <xf numFmtId="4" fontId="5" fillId="0" borderId="9" xfId="0" applyNumberFormat="1" applyFont="1" applyBorder="1"/>
    <xf numFmtId="4" fontId="6" fillId="5" borderId="3" xfId="0" applyNumberFormat="1" applyFont="1" applyFill="1" applyBorder="1"/>
    <xf numFmtId="10" fontId="5" fillId="0" borderId="13" xfId="0" applyNumberFormat="1" applyFont="1" applyBorder="1"/>
    <xf numFmtId="4" fontId="5" fillId="5" borderId="12" xfId="0" applyNumberFormat="1" applyFont="1" applyFill="1" applyBorder="1"/>
    <xf numFmtId="2" fontId="2" fillId="2" borderId="3" xfId="0" applyNumberFormat="1" applyFont="1" applyFill="1" applyBorder="1" applyAlignment="1">
      <alignment horizontal="left" vertical="center" wrapText="1"/>
    </xf>
    <xf numFmtId="2" fontId="2" fillId="2" borderId="10" xfId="0" applyNumberFormat="1" applyFont="1" applyFill="1" applyBorder="1" applyAlignment="1">
      <alignment horizontal="center" vertical="center" wrapText="1"/>
    </xf>
    <xf numFmtId="2" fontId="2" fillId="2" borderId="11" xfId="0" applyNumberFormat="1" applyFont="1" applyFill="1" applyBorder="1" applyAlignment="1">
      <alignment horizontal="center" vertical="center" wrapText="1"/>
    </xf>
    <xf numFmtId="4" fontId="3" fillId="5" borderId="7" xfId="0" applyNumberFormat="1" applyFont="1" applyFill="1" applyBorder="1" applyProtection="1">
      <protection locked="0"/>
    </xf>
    <xf numFmtId="4" fontId="5" fillId="0" borderId="15" xfId="0" applyNumberFormat="1" applyFont="1" applyBorder="1"/>
    <xf numFmtId="4" fontId="5" fillId="0" borderId="7" xfId="0" applyNumberFormat="1" applyFont="1" applyBorder="1"/>
    <xf numFmtId="49" fontId="4" fillId="5" borderId="3" xfId="0" applyNumberFormat="1" applyFont="1" applyFill="1" applyBorder="1" applyAlignment="1" applyProtection="1">
      <alignment vertical="top" wrapText="1"/>
      <protection locked="0"/>
    </xf>
    <xf numFmtId="2" fontId="2" fillId="6" borderId="5" xfId="0" applyNumberFormat="1" applyFont="1" applyFill="1" applyBorder="1" applyAlignment="1">
      <alignment horizontal="center" vertical="center" wrapText="1"/>
    </xf>
    <xf numFmtId="2" fontId="2" fillId="6" borderId="2" xfId="0" applyNumberFormat="1" applyFont="1" applyFill="1" applyBorder="1" applyAlignment="1">
      <alignment horizontal="center" vertical="center" wrapText="1"/>
    </xf>
    <xf numFmtId="2" fontId="2" fillId="6" borderId="17" xfId="0" applyNumberFormat="1" applyFont="1" applyFill="1" applyBorder="1" applyAlignment="1">
      <alignment horizontal="center" vertical="center" wrapText="1"/>
    </xf>
    <xf numFmtId="2" fontId="2" fillId="6" borderId="18" xfId="0" applyNumberFormat="1" applyFont="1" applyFill="1" applyBorder="1" applyAlignment="1">
      <alignment horizontal="center" vertical="center" wrapText="1"/>
    </xf>
    <xf numFmtId="49" fontId="3" fillId="7" borderId="1" xfId="0" applyNumberFormat="1" applyFont="1" applyFill="1" applyBorder="1" applyAlignment="1" applyProtection="1">
      <alignment vertical="top" wrapText="1"/>
      <protection locked="0"/>
    </xf>
    <xf numFmtId="49" fontId="4" fillId="7" borderId="1" xfId="0" applyNumberFormat="1" applyFont="1" applyFill="1" applyBorder="1" applyAlignment="1" applyProtection="1">
      <alignment vertical="top" wrapText="1"/>
      <protection locked="0"/>
    </xf>
    <xf numFmtId="0" fontId="4" fillId="8" borderId="1" xfId="0" applyFont="1" applyFill="1" applyBorder="1" applyAlignment="1" applyProtection="1">
      <alignment vertical="top" wrapText="1"/>
      <protection locked="0"/>
    </xf>
    <xf numFmtId="4" fontId="4" fillId="8" borderId="1" xfId="0" applyNumberFormat="1" applyFont="1" applyFill="1" applyBorder="1" applyAlignment="1" applyProtection="1">
      <alignment vertical="top" wrapText="1"/>
      <protection locked="0"/>
    </xf>
    <xf numFmtId="10" fontId="3" fillId="8" borderId="7" xfId="0" applyNumberFormat="1" applyFont="1" applyFill="1" applyBorder="1" applyProtection="1">
      <protection locked="0"/>
    </xf>
    <xf numFmtId="10" fontId="3" fillId="8" borderId="3" xfId="0" applyNumberFormat="1" applyFont="1" applyFill="1" applyBorder="1" applyProtection="1">
      <protection locked="0"/>
    </xf>
    <xf numFmtId="49" fontId="10" fillId="9" borderId="19" xfId="0" applyNumberFormat="1" applyFont="1" applyFill="1" applyBorder="1" applyAlignment="1" applyProtection="1">
      <alignment horizontal="left"/>
      <protection locked="0"/>
    </xf>
    <xf numFmtId="2" fontId="2" fillId="8" borderId="3" xfId="0" applyNumberFormat="1" applyFont="1" applyFill="1" applyBorder="1" applyAlignment="1" applyProtection="1">
      <alignment horizontal="center" vertical="center" wrapText="1"/>
      <protection locked="0"/>
    </xf>
    <xf numFmtId="4" fontId="6" fillId="8" borderId="1" xfId="0" applyNumberFormat="1" applyFont="1" applyFill="1" applyBorder="1" applyProtection="1">
      <protection locked="0"/>
    </xf>
    <xf numFmtId="4" fontId="6" fillId="8" borderId="6" xfId="0" applyNumberFormat="1" applyFont="1" applyFill="1" applyBorder="1" applyProtection="1">
      <protection locked="0"/>
    </xf>
    <xf numFmtId="4" fontId="5" fillId="0" borderId="13" xfId="0" applyNumberFormat="1" applyFont="1" applyBorder="1"/>
    <xf numFmtId="4" fontId="3" fillId="5" borderId="20" xfId="0" applyNumberFormat="1" applyFont="1" applyFill="1" applyBorder="1" applyProtection="1">
      <protection locked="0"/>
    </xf>
    <xf numFmtId="49" fontId="4" fillId="5" borderId="6" xfId="0" applyNumberFormat="1" applyFont="1" applyFill="1" applyBorder="1" applyAlignment="1" applyProtection="1">
      <alignment vertical="top" wrapText="1"/>
      <protection locked="0"/>
    </xf>
    <xf numFmtId="4" fontId="6" fillId="5" borderId="6" xfId="0" applyNumberFormat="1" applyFont="1" applyFill="1" applyBorder="1"/>
    <xf numFmtId="2" fontId="2" fillId="6" borderId="8" xfId="0" applyNumberFormat="1" applyFont="1" applyFill="1" applyBorder="1" applyAlignment="1">
      <alignment horizontal="center" vertical="center" wrapText="1"/>
    </xf>
    <xf numFmtId="4" fontId="4" fillId="8" borderId="3" xfId="0" applyNumberFormat="1" applyFont="1" applyFill="1" applyBorder="1" applyAlignment="1" applyProtection="1">
      <alignment vertical="top" wrapText="1"/>
      <protection locked="0"/>
    </xf>
    <xf numFmtId="4" fontId="6" fillId="0" borderId="3" xfId="0" applyNumberFormat="1" applyFont="1" applyBorder="1"/>
    <xf numFmtId="2" fontId="2" fillId="6" borderId="21" xfId="0" applyNumberFormat="1" applyFont="1" applyFill="1" applyBorder="1" applyAlignment="1">
      <alignment horizontal="center" vertical="center" wrapText="1"/>
    </xf>
    <xf numFmtId="2" fontId="2" fillId="6" borderId="3" xfId="0" applyNumberFormat="1" applyFont="1" applyFill="1" applyBorder="1" applyAlignment="1">
      <alignment horizontal="center" vertical="center" wrapText="1"/>
    </xf>
    <xf numFmtId="2" fontId="2" fillId="6" borderId="22" xfId="0" applyNumberFormat="1" applyFont="1" applyFill="1" applyBorder="1" applyAlignment="1">
      <alignment horizontal="center" vertical="center" wrapText="1"/>
    </xf>
    <xf numFmtId="2" fontId="2" fillId="6" borderId="23" xfId="0" applyNumberFormat="1" applyFont="1" applyFill="1" applyBorder="1" applyAlignment="1">
      <alignment horizontal="center" vertical="center" wrapText="1"/>
    </xf>
    <xf numFmtId="4" fontId="3" fillId="5" borderId="24" xfId="0" applyNumberFormat="1" applyFont="1" applyFill="1" applyBorder="1" applyProtection="1">
      <protection locked="0"/>
    </xf>
    <xf numFmtId="49" fontId="4" fillId="5" borderId="23" xfId="0" applyNumberFormat="1" applyFont="1" applyFill="1" applyBorder="1" applyAlignment="1" applyProtection="1">
      <alignment vertical="top" wrapText="1"/>
      <protection locked="0"/>
    </xf>
    <xf numFmtId="4" fontId="6" fillId="8" borderId="23" xfId="0" applyNumberFormat="1" applyFont="1" applyFill="1" applyBorder="1" applyProtection="1">
      <protection locked="0"/>
    </xf>
    <xf numFmtId="4" fontId="6" fillId="5" borderId="23" xfId="0" applyNumberFormat="1" applyFont="1" applyFill="1" applyBorder="1"/>
    <xf numFmtId="4" fontId="5" fillId="0" borderId="25" xfId="0" applyNumberFormat="1" applyFont="1" applyBorder="1"/>
    <xf numFmtId="4" fontId="3" fillId="5" borderId="6" xfId="0" applyNumberFormat="1" applyFont="1" applyFill="1" applyBorder="1" applyProtection="1">
      <protection locked="0"/>
    </xf>
    <xf numFmtId="2" fontId="2" fillId="8" borderId="1" xfId="0" applyNumberFormat="1" applyFont="1" applyFill="1" applyBorder="1" applyAlignment="1" applyProtection="1">
      <alignment horizontal="center" vertical="center" wrapText="1"/>
      <protection locked="0"/>
    </xf>
    <xf numFmtId="49" fontId="4" fillId="8" borderId="1" xfId="0" applyNumberFormat="1" applyFont="1" applyFill="1" applyBorder="1" applyAlignment="1" applyProtection="1">
      <alignment vertical="top" wrapText="1"/>
      <protection locked="0"/>
    </xf>
    <xf numFmtId="4" fontId="4" fillId="8" borderId="6" xfId="0" applyNumberFormat="1" applyFont="1" applyFill="1" applyBorder="1" applyAlignment="1" applyProtection="1">
      <alignment vertical="top" wrapText="1"/>
      <protection locked="0"/>
    </xf>
    <xf numFmtId="0" fontId="13" fillId="8" borderId="1" xfId="0" applyFont="1" applyFill="1" applyBorder="1" applyAlignment="1" applyProtection="1">
      <alignment vertical="top" wrapText="1"/>
      <protection locked="0"/>
    </xf>
    <xf numFmtId="0" fontId="2" fillId="8" borderId="6" xfId="0" applyFont="1" applyFill="1" applyBorder="1" applyAlignment="1" applyProtection="1">
      <alignment vertical="top" wrapText="1"/>
      <protection locked="0"/>
    </xf>
    <xf numFmtId="0" fontId="2" fillId="8" borderId="1" xfId="0" applyFont="1" applyFill="1" applyBorder="1" applyAlignment="1" applyProtection="1">
      <alignment vertical="top"/>
      <protection locked="0"/>
    </xf>
    <xf numFmtId="4" fontId="13" fillId="8" borderId="1" xfId="0" applyNumberFormat="1" applyFont="1" applyFill="1" applyBorder="1" applyProtection="1">
      <protection locked="0"/>
    </xf>
    <xf numFmtId="4" fontId="2" fillId="0" borderId="1" xfId="0" applyNumberFormat="1" applyFont="1" applyBorder="1"/>
    <xf numFmtId="4" fontId="13" fillId="5" borderId="3" xfId="0" applyNumberFormat="1" applyFont="1" applyFill="1" applyBorder="1"/>
    <xf numFmtId="4" fontId="2" fillId="5" borderId="3" xfId="0" applyNumberFormat="1" applyFont="1" applyFill="1" applyBorder="1" applyProtection="1">
      <protection locked="0"/>
    </xf>
    <xf numFmtId="4" fontId="13" fillId="8" borderId="6" xfId="0" applyNumberFormat="1" applyFont="1" applyFill="1" applyBorder="1" applyProtection="1">
      <protection locked="0"/>
    </xf>
    <xf numFmtId="4" fontId="2" fillId="0" borderId="3" xfId="0" applyNumberFormat="1" applyFont="1" applyBorder="1"/>
    <xf numFmtId="4" fontId="2" fillId="0" borderId="2" xfId="0" applyNumberFormat="1" applyFont="1" applyBorder="1"/>
    <xf numFmtId="4" fontId="13" fillId="8" borderId="23" xfId="0" applyNumberFormat="1" applyFont="1" applyFill="1" applyBorder="1" applyProtection="1">
      <protection locked="0"/>
    </xf>
    <xf numFmtId="0" fontId="4" fillId="8" borderId="6" xfId="0" applyFont="1" applyFill="1" applyBorder="1" applyAlignment="1" applyProtection="1">
      <alignment horizontal="right" vertical="top" wrapText="1"/>
      <protection locked="0"/>
    </xf>
    <xf numFmtId="4" fontId="13" fillId="8" borderId="1" xfId="0" applyNumberFormat="1" applyFont="1" applyFill="1" applyBorder="1" applyAlignment="1" applyProtection="1">
      <alignment horizontal="right"/>
      <protection locked="0"/>
    </xf>
    <xf numFmtId="4" fontId="13" fillId="8" borderId="1" xfId="0" applyNumberFormat="1" applyFont="1" applyFill="1" applyBorder="1" applyAlignment="1" applyProtection="1">
      <alignment horizontal="right" wrapText="1"/>
      <protection locked="0"/>
    </xf>
    <xf numFmtId="4" fontId="13" fillId="3" borderId="1" xfId="0" applyNumberFormat="1" applyFont="1" applyFill="1" applyBorder="1"/>
    <xf numFmtId="4" fontId="13" fillId="0" borderId="3" xfId="0" applyNumberFormat="1" applyFont="1" applyBorder="1"/>
    <xf numFmtId="4" fontId="13" fillId="0" borderId="2" xfId="0" applyNumberFormat="1" applyFont="1" applyBorder="1"/>
    <xf numFmtId="0" fontId="2" fillId="8" borderId="6" xfId="0" applyFont="1" applyFill="1" applyBorder="1" applyAlignment="1" applyProtection="1">
      <alignment horizontal="right" vertical="top" wrapText="1"/>
      <protection locked="0"/>
    </xf>
    <xf numFmtId="0" fontId="2" fillId="8" borderId="1" xfId="0" applyFont="1" applyFill="1" applyBorder="1" applyAlignment="1" applyProtection="1">
      <alignment vertical="top" wrapText="1"/>
      <protection locked="0"/>
    </xf>
    <xf numFmtId="4" fontId="2" fillId="8" borderId="1" xfId="0" applyNumberFormat="1" applyFont="1" applyFill="1" applyBorder="1" applyAlignment="1" applyProtection="1">
      <alignment horizontal="right"/>
      <protection locked="0"/>
    </xf>
    <xf numFmtId="4" fontId="2" fillId="8" borderId="1" xfId="0" applyNumberFormat="1" applyFont="1" applyFill="1" applyBorder="1" applyAlignment="1" applyProtection="1">
      <alignment horizontal="right" wrapText="1"/>
      <protection locked="0"/>
    </xf>
    <xf numFmtId="4" fontId="2" fillId="3" borderId="1" xfId="0" applyNumberFormat="1" applyFont="1" applyFill="1" applyBorder="1"/>
    <xf numFmtId="4" fontId="2" fillId="5" borderId="3" xfId="0" applyNumberFormat="1" applyFont="1" applyFill="1" applyBorder="1"/>
    <xf numFmtId="0" fontId="13" fillId="8" borderId="6" xfId="0" applyFont="1" applyFill="1" applyBorder="1" applyAlignment="1" applyProtection="1">
      <alignment horizontal="right" vertical="top" wrapText="1"/>
      <protection locked="0"/>
    </xf>
    <xf numFmtId="0" fontId="13" fillId="8" borderId="6" xfId="0" applyFont="1" applyFill="1" applyBorder="1" applyAlignment="1" applyProtection="1">
      <alignment vertical="top" wrapText="1"/>
      <protection locked="0"/>
    </xf>
    <xf numFmtId="14" fontId="13" fillId="8" borderId="6" xfId="0" applyNumberFormat="1" applyFont="1" applyFill="1" applyBorder="1" applyAlignment="1" applyProtection="1">
      <alignment horizontal="right" vertical="top" wrapText="1"/>
      <protection locked="0"/>
    </xf>
    <xf numFmtId="4" fontId="13" fillId="8" borderId="1" xfId="0" applyNumberFormat="1" applyFont="1" applyFill="1" applyBorder="1" applyAlignment="1" applyProtection="1">
      <alignment wrapText="1"/>
      <protection locked="0"/>
    </xf>
    <xf numFmtId="4" fontId="13" fillId="0" borderId="1" xfId="0" applyNumberFormat="1" applyFont="1" applyBorder="1"/>
    <xf numFmtId="0" fontId="13" fillId="8" borderId="1" xfId="0" applyFont="1" applyFill="1" applyBorder="1" applyAlignment="1" applyProtection="1">
      <alignment vertical="top"/>
      <protection locked="0"/>
    </xf>
    <xf numFmtId="0" fontId="13" fillId="8" borderId="1" xfId="0" applyFont="1" applyFill="1" applyBorder="1"/>
    <xf numFmtId="4" fontId="13" fillId="5" borderId="1" xfId="0" applyNumberFormat="1" applyFont="1" applyFill="1" applyBorder="1"/>
    <xf numFmtId="4" fontId="13" fillId="8" borderId="1" xfId="0" applyNumberFormat="1" applyFont="1" applyFill="1" applyBorder="1"/>
    <xf numFmtId="4" fontId="2" fillId="8" borderId="1" xfId="0" applyNumberFormat="1" applyFont="1" applyFill="1" applyBorder="1"/>
    <xf numFmtId="164" fontId="13" fillId="8" borderId="1" xfId="0" applyNumberFormat="1" applyFont="1" applyFill="1" applyBorder="1" applyAlignment="1" applyProtection="1">
      <alignment horizontal="right" vertical="top" wrapText="1"/>
      <protection locked="0"/>
    </xf>
    <xf numFmtId="4" fontId="2" fillId="8" borderId="1" xfId="0" applyNumberFormat="1" applyFont="1" applyFill="1" applyBorder="1" applyAlignment="1" applyProtection="1">
      <alignment vertical="top"/>
      <protection locked="0"/>
    </xf>
    <xf numFmtId="0" fontId="13" fillId="8" borderId="1" xfId="0" applyFont="1" applyFill="1" applyBorder="1" applyAlignment="1" applyProtection="1">
      <alignment horizontal="right" vertical="top" wrapText="1"/>
      <protection locked="0"/>
    </xf>
    <xf numFmtId="4" fontId="13" fillId="8" borderId="15" xfId="0" applyNumberFormat="1" applyFont="1" applyFill="1" applyBorder="1" applyProtection="1">
      <protection locked="0"/>
    </xf>
    <xf numFmtId="4" fontId="13" fillId="8" borderId="15" xfId="0" applyNumberFormat="1" applyFont="1" applyFill="1" applyBorder="1" applyAlignment="1" applyProtection="1">
      <alignment wrapText="1"/>
      <protection locked="0"/>
    </xf>
    <xf numFmtId="4" fontId="13" fillId="0" borderId="15" xfId="0" applyNumberFormat="1" applyFont="1" applyBorder="1"/>
    <xf numFmtId="4" fontId="13" fillId="5" borderId="7" xfId="0" applyNumberFormat="1" applyFont="1" applyFill="1" applyBorder="1"/>
    <xf numFmtId="4" fontId="2" fillId="5" borderId="7" xfId="0" applyNumberFormat="1" applyFont="1" applyFill="1" applyBorder="1" applyProtection="1">
      <protection locked="0"/>
    </xf>
    <xf numFmtId="4" fontId="13" fillId="8" borderId="26" xfId="0" applyNumberFormat="1" applyFont="1" applyFill="1" applyBorder="1" applyProtection="1">
      <protection locked="0"/>
    </xf>
    <xf numFmtId="4" fontId="13" fillId="0" borderId="7" xfId="0" applyNumberFormat="1" applyFont="1" applyBorder="1"/>
    <xf numFmtId="4" fontId="13" fillId="0" borderId="16" xfId="0" applyNumberFormat="1" applyFont="1" applyBorder="1"/>
    <xf numFmtId="4" fontId="13" fillId="8" borderId="27" xfId="0" applyNumberFormat="1" applyFont="1" applyFill="1" applyBorder="1" applyProtection="1">
      <protection locked="0"/>
    </xf>
    <xf numFmtId="4" fontId="13" fillId="3" borderId="15" xfId="0" applyNumberFormat="1" applyFont="1" applyFill="1" applyBorder="1"/>
    <xf numFmtId="2" fontId="13" fillId="5" borderId="1" xfId="0" applyNumberFormat="1" applyFont="1" applyFill="1" applyBorder="1"/>
    <xf numFmtId="2" fontId="13" fillId="8" borderId="1" xfId="0" applyNumberFormat="1" applyFont="1" applyFill="1" applyBorder="1"/>
    <xf numFmtId="4" fontId="6" fillId="0" borderId="15" xfId="0" applyNumberFormat="1" applyFont="1" applyBorder="1"/>
    <xf numFmtId="49" fontId="13" fillId="8" borderId="1" xfId="0" applyNumberFormat="1" applyFont="1" applyFill="1" applyBorder="1" applyAlignment="1" applyProtection="1">
      <alignment vertical="top" wrapText="1"/>
      <protection locked="0"/>
    </xf>
    <xf numFmtId="4" fontId="4" fillId="0" borderId="1" xfId="0" applyNumberFormat="1" applyFont="1" applyBorder="1" applyAlignment="1" applyProtection="1">
      <alignment vertical="top" wrapText="1"/>
      <protection locked="0"/>
    </xf>
    <xf numFmtId="4" fontId="6" fillId="0" borderId="1" xfId="0" applyNumberFormat="1" applyFont="1" applyBorder="1" applyProtection="1">
      <protection locked="0"/>
    </xf>
    <xf numFmtId="4" fontId="6" fillId="0" borderId="2" xfId="0" applyNumberFormat="1" applyFont="1" applyBorder="1"/>
    <xf numFmtId="4" fontId="14" fillId="5" borderId="6" xfId="0" applyNumberFormat="1" applyFont="1" applyFill="1" applyBorder="1"/>
    <xf numFmtId="4" fontId="14" fillId="5" borderId="23" xfId="0" applyNumberFormat="1" applyFont="1" applyFill="1" applyBorder="1"/>
    <xf numFmtId="4" fontId="13" fillId="8" borderId="1" xfId="0" applyNumberFormat="1" applyFont="1" applyFill="1" applyBorder="1" applyAlignment="1" applyProtection="1">
      <alignment horizontal="left" wrapText="1"/>
      <protection locked="0"/>
    </xf>
    <xf numFmtId="4" fontId="3" fillId="0" borderId="7" xfId="0" applyNumberFormat="1" applyFont="1" applyBorder="1"/>
    <xf numFmtId="0" fontId="0" fillId="0" borderId="0" xfId="0" applyAlignment="1">
      <alignment horizontal="left" wrapText="1"/>
    </xf>
  </cellXfs>
  <cellStyles count="1">
    <cellStyle name="Normaallaad" xfId="0" builtinId="0"/>
  </cellStyles>
  <dxfs count="0"/>
  <tableStyles count="0" defaultTableStyle="TableStyleMedium2" defaultPivotStyle="PivotStyleLight16"/>
  <colors>
    <mruColors>
      <color rgb="FFF2F8EE"/>
      <color rgb="FFEBE8EC"/>
      <color rgb="FFEBE8E6"/>
      <color rgb="FFA9CCEF"/>
      <color rgb="FFE9E5FF"/>
      <color rgb="FFEAD5FF"/>
      <color rgb="FFEBECEC"/>
      <color rgb="FFEBEC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75"/>
  <sheetViews>
    <sheetView tabSelected="1" view="pageLayout" topLeftCell="A5" zoomScale="120" zoomScaleNormal="100" zoomScalePageLayoutView="120" workbookViewId="0">
      <selection activeCell="B14" sqref="B14"/>
    </sheetView>
  </sheetViews>
  <sheetFormatPr defaultColWidth="10.625" defaultRowHeight="14.25" x14ac:dyDescent="0.2"/>
  <cols>
    <col min="1" max="1" width="5" customWidth="1"/>
    <col min="2" max="2" width="46.375" customWidth="1"/>
    <col min="8" max="8" width="7.25" customWidth="1"/>
    <col min="10" max="10" width="7.25" customWidth="1"/>
    <col min="12" max="12" width="6.875" customWidth="1"/>
    <col min="14" max="14" width="7" customWidth="1"/>
    <col min="16" max="16" width="7" customWidth="1"/>
  </cols>
  <sheetData>
    <row r="1" spans="1:36" x14ac:dyDescent="0.2">
      <c r="A1" s="5"/>
      <c r="B1" s="5"/>
      <c r="C1" s="5"/>
      <c r="D1" s="5"/>
      <c r="E1" s="5"/>
      <c r="F1" s="5"/>
      <c r="G1" s="5"/>
      <c r="H1" s="5"/>
      <c r="I1" s="5"/>
      <c r="J1" s="5"/>
      <c r="K1" s="5"/>
      <c r="L1" s="5"/>
      <c r="M1" s="7" t="s">
        <v>0</v>
      </c>
      <c r="N1" s="5"/>
      <c r="O1" s="6">
        <v>45324</v>
      </c>
      <c r="P1" s="5"/>
      <c r="Q1" s="6"/>
    </row>
    <row r="2" spans="1:36" x14ac:dyDescent="0.2">
      <c r="A2" s="8"/>
      <c r="B2" s="9"/>
      <c r="C2" s="9"/>
      <c r="D2" s="9"/>
      <c r="E2" s="10" t="s">
        <v>1</v>
      </c>
      <c r="F2" s="10"/>
      <c r="G2" s="9"/>
      <c r="H2" s="9"/>
      <c r="I2" s="9"/>
      <c r="J2" s="9"/>
      <c r="K2" s="9"/>
      <c r="L2" s="9"/>
      <c r="M2" s="9"/>
      <c r="N2" s="9"/>
      <c r="O2" s="9"/>
      <c r="P2" s="9"/>
      <c r="Q2" s="9"/>
    </row>
    <row r="3" spans="1:36" ht="20.25" x14ac:dyDescent="0.2">
      <c r="A3" s="8"/>
      <c r="B3" s="9"/>
      <c r="C3" s="9"/>
      <c r="D3" s="9"/>
      <c r="E3" s="11" t="s">
        <v>2</v>
      </c>
      <c r="F3" s="11"/>
      <c r="G3" s="9"/>
      <c r="H3" s="9"/>
      <c r="I3" s="9"/>
      <c r="J3" s="9"/>
      <c r="K3" s="9"/>
      <c r="L3" s="9"/>
      <c r="M3" s="9"/>
      <c r="N3" s="9"/>
      <c r="O3" s="9"/>
      <c r="P3" s="9"/>
      <c r="Q3" s="9"/>
    </row>
    <row r="4" spans="1:36" ht="15" thickBot="1" x14ac:dyDescent="0.25">
      <c r="A4" s="45" t="s">
        <v>3</v>
      </c>
    </row>
    <row r="5" spans="1:36" x14ac:dyDescent="0.2">
      <c r="A5" s="1"/>
      <c r="B5" s="1"/>
      <c r="C5" s="66" t="s">
        <v>4</v>
      </c>
      <c r="D5" s="1" t="str">
        <f>C5</f>
        <v>EUR</v>
      </c>
      <c r="E5" s="1" t="str">
        <f>C5</f>
        <v>EUR</v>
      </c>
      <c r="F5" s="12" t="s">
        <v>5</v>
      </c>
      <c r="G5" s="12" t="s">
        <v>6</v>
      </c>
      <c r="H5" s="18" t="str">
        <f>+C5</f>
        <v>EUR</v>
      </c>
      <c r="I5" s="56" t="str">
        <f>C5</f>
        <v>EUR</v>
      </c>
      <c r="J5" s="18" t="str">
        <f>C5</f>
        <v>EUR</v>
      </c>
      <c r="K5" s="35" t="str">
        <f>C5</f>
        <v>EUR</v>
      </c>
      <c r="L5" s="18" t="str">
        <f>C5</f>
        <v>EUR</v>
      </c>
      <c r="M5" s="35" t="str">
        <f>C5</f>
        <v>EUR</v>
      </c>
      <c r="N5" s="58" t="str">
        <f>C5</f>
        <v>EUR</v>
      </c>
      <c r="O5" s="35" t="str">
        <f>C5</f>
        <v>EUR</v>
      </c>
      <c r="P5" s="58" t="str">
        <f>E5</f>
        <v>EUR</v>
      </c>
      <c r="Q5" s="35" t="str">
        <f>E5</f>
        <v>EUR</v>
      </c>
    </row>
    <row r="6" spans="1:36" ht="46.5" customHeight="1" x14ac:dyDescent="0.2">
      <c r="A6" s="1" t="s">
        <v>7</v>
      </c>
      <c r="B6" s="1" t="s">
        <v>8</v>
      </c>
      <c r="C6" s="29" t="s">
        <v>9</v>
      </c>
      <c r="D6" s="29" t="s">
        <v>10</v>
      </c>
      <c r="E6" s="1" t="s">
        <v>11</v>
      </c>
      <c r="F6" s="30" t="s">
        <v>12</v>
      </c>
      <c r="G6" s="30" t="s">
        <v>13</v>
      </c>
      <c r="H6" s="19" t="s">
        <v>10</v>
      </c>
      <c r="I6" s="57" t="s">
        <v>14</v>
      </c>
      <c r="J6" s="19" t="s">
        <v>10</v>
      </c>
      <c r="K6" s="36" t="s">
        <v>15</v>
      </c>
      <c r="L6" s="19" t="s">
        <v>10</v>
      </c>
      <c r="M6" s="36" t="s">
        <v>16</v>
      </c>
      <c r="N6" s="59" t="s">
        <v>10</v>
      </c>
      <c r="O6" s="36" t="s">
        <v>17</v>
      </c>
      <c r="P6" s="59" t="s">
        <v>10</v>
      </c>
      <c r="Q6" s="36" t="s">
        <v>18</v>
      </c>
    </row>
    <row r="7" spans="1:36" x14ac:dyDescent="0.2">
      <c r="A7" s="1"/>
      <c r="B7" s="28" t="s">
        <v>19</v>
      </c>
      <c r="C7" s="46">
        <v>1.036081</v>
      </c>
      <c r="D7" s="15"/>
      <c r="E7" s="15"/>
      <c r="F7" s="15"/>
      <c r="G7" s="15"/>
      <c r="H7" s="37"/>
      <c r="I7" s="53"/>
      <c r="J7" s="37"/>
      <c r="K7" s="38"/>
      <c r="L7" s="37"/>
      <c r="M7" s="38"/>
      <c r="N7" s="53"/>
      <c r="O7" s="38"/>
      <c r="P7" s="53"/>
      <c r="Q7" s="38"/>
    </row>
    <row r="8" spans="1:36" x14ac:dyDescent="0.2">
      <c r="A8" s="39" t="s">
        <v>20</v>
      </c>
      <c r="B8" s="39" t="s">
        <v>21</v>
      </c>
      <c r="C8" s="31"/>
      <c r="D8" s="31"/>
      <c r="E8" s="31">
        <f>E9+E13+E15</f>
        <v>247384</v>
      </c>
      <c r="F8" s="43">
        <v>0.85</v>
      </c>
      <c r="G8" s="33">
        <f>E8/$C$7*F8</f>
        <v>202953.63007332437</v>
      </c>
      <c r="H8" s="50"/>
      <c r="I8" s="32">
        <f>I9+I12+I13+I15</f>
        <v>71921</v>
      </c>
      <c r="J8" s="65"/>
      <c r="K8" s="32">
        <f>K9+K12+K13+K15</f>
        <v>45211</v>
      </c>
      <c r="L8" s="50"/>
      <c r="M8" s="32">
        <f>M9+M12+M13+M15</f>
        <v>45211</v>
      </c>
      <c r="N8" s="60"/>
      <c r="O8" s="32">
        <f>O9+O12+O13+O15</f>
        <v>73921</v>
      </c>
      <c r="P8" s="60"/>
      <c r="Q8" s="32">
        <f>Q9+Q12+Q13+Q15</f>
        <v>11120</v>
      </c>
    </row>
    <row r="9" spans="1:36" x14ac:dyDescent="0.2">
      <c r="A9" s="40">
        <v>1.1000000000000001</v>
      </c>
      <c r="B9" s="40" t="s">
        <v>22</v>
      </c>
      <c r="C9" s="16"/>
      <c r="D9" s="16"/>
      <c r="E9" s="119">
        <f>SUM(E10:E12)</f>
        <v>144560</v>
      </c>
      <c r="F9" s="16"/>
      <c r="G9" s="34"/>
      <c r="H9" s="51"/>
      <c r="I9" s="119">
        <f>SUM(I10:I11)</f>
        <v>16560</v>
      </c>
      <c r="J9" s="51"/>
      <c r="K9" s="119">
        <f>SUM(K10:K11)</f>
        <v>16560</v>
      </c>
      <c r="L9" s="51"/>
      <c r="M9" s="119">
        <f>SUM(M10:M11)</f>
        <v>16560</v>
      </c>
      <c r="N9" s="61"/>
      <c r="O9" s="119">
        <f>SUM(O10:O11)</f>
        <v>16560</v>
      </c>
      <c r="P9" s="61"/>
      <c r="Q9" s="119">
        <f>SUM(Q10:Q11)</f>
        <v>5520</v>
      </c>
    </row>
    <row r="10" spans="1:36" ht="38.25" x14ac:dyDescent="0.2">
      <c r="A10" s="3" t="s">
        <v>23</v>
      </c>
      <c r="B10" s="67" t="s">
        <v>24</v>
      </c>
      <c r="C10" s="54">
        <v>4600</v>
      </c>
      <c r="D10" s="42" t="s">
        <v>25</v>
      </c>
      <c r="E10" s="4">
        <f>SUM(C10*0.15*52)</f>
        <v>35880</v>
      </c>
      <c r="F10" s="14"/>
      <c r="G10" s="14"/>
      <c r="H10" s="68">
        <f>0.15*12</f>
        <v>1.7999999999999998</v>
      </c>
      <c r="I10" s="55">
        <f>SUM(H10*C10)</f>
        <v>8280</v>
      </c>
      <c r="J10" s="68">
        <f>0.15*12</f>
        <v>1.7999999999999998</v>
      </c>
      <c r="K10" s="121">
        <f>SUM(J10*C10)</f>
        <v>8280</v>
      </c>
      <c r="L10" s="68">
        <f>0.15*12</f>
        <v>1.7999999999999998</v>
      </c>
      <c r="M10" s="121">
        <f>SUM(L10*C10)</f>
        <v>8280</v>
      </c>
      <c r="N10" s="68">
        <f>0.15*12</f>
        <v>1.7999999999999998</v>
      </c>
      <c r="O10" s="121">
        <f>SUM(N10*C10)</f>
        <v>8280</v>
      </c>
      <c r="P10" s="68">
        <f>0.15*4</f>
        <v>0.6</v>
      </c>
      <c r="Q10" s="121">
        <f>SUM(P10*C10)</f>
        <v>2760</v>
      </c>
    </row>
    <row r="11" spans="1:36" ht="25.5" x14ac:dyDescent="0.2">
      <c r="A11" s="3" t="s">
        <v>26</v>
      </c>
      <c r="B11" s="67" t="s">
        <v>27</v>
      </c>
      <c r="C11" s="54">
        <v>4600</v>
      </c>
      <c r="D11" s="42" t="s">
        <v>25</v>
      </c>
      <c r="E11" s="4">
        <f>SUM(C11*0.15*52)</f>
        <v>35880</v>
      </c>
      <c r="F11" s="14"/>
      <c r="G11" s="14"/>
      <c r="H11" s="68">
        <f>0.15*12</f>
        <v>1.7999999999999998</v>
      </c>
      <c r="I11" s="55">
        <f>SUM(H11*C11)</f>
        <v>8280</v>
      </c>
      <c r="J11" s="68">
        <f>0.15*12</f>
        <v>1.7999999999999998</v>
      </c>
      <c r="K11" s="121">
        <f t="shared" ref="K11" si="0">SUM(J11*C11)</f>
        <v>8280</v>
      </c>
      <c r="L11" s="68">
        <f>0.15*12</f>
        <v>1.7999999999999998</v>
      </c>
      <c r="M11" s="121">
        <f t="shared" ref="M11" si="1">SUM(L11*C11)</f>
        <v>8280</v>
      </c>
      <c r="N11" s="68">
        <f>0.15*12</f>
        <v>1.7999999999999998</v>
      </c>
      <c r="O11" s="121">
        <f t="shared" ref="O11" si="2">SUM(N11*C11)</f>
        <v>8280</v>
      </c>
      <c r="P11" s="68">
        <f>0.15*4</f>
        <v>0.6</v>
      </c>
      <c r="Q11" s="121">
        <f t="shared" ref="Q11" si="3">SUM(P11*C11)</f>
        <v>2760</v>
      </c>
    </row>
    <row r="12" spans="1:36" ht="25.5" x14ac:dyDescent="0.2">
      <c r="A12" s="40" t="s">
        <v>28</v>
      </c>
      <c r="B12" s="40" t="s">
        <v>29</v>
      </c>
      <c r="C12" s="54"/>
      <c r="D12" s="42"/>
      <c r="E12" s="120">
        <v>72800</v>
      </c>
      <c r="F12" s="14"/>
      <c r="G12" s="14"/>
      <c r="H12" s="68"/>
      <c r="I12" s="120">
        <v>16800</v>
      </c>
      <c r="J12" s="68"/>
      <c r="K12" s="121">
        <v>16800</v>
      </c>
      <c r="L12" s="68"/>
      <c r="M12" s="121">
        <v>16800</v>
      </c>
      <c r="N12" s="68"/>
      <c r="O12" s="121">
        <v>16800</v>
      </c>
      <c r="P12" s="68"/>
      <c r="Q12" s="121">
        <v>5600</v>
      </c>
    </row>
    <row r="13" spans="1:36" x14ac:dyDescent="0.2">
      <c r="A13" s="40" t="s">
        <v>30</v>
      </c>
      <c r="B13" s="40" t="s">
        <v>31</v>
      </c>
      <c r="C13" s="25"/>
      <c r="D13" s="17"/>
      <c r="E13" s="120">
        <f>SUM(E14)</f>
        <v>57420</v>
      </c>
      <c r="F13" s="14"/>
      <c r="G13" s="14"/>
      <c r="H13" s="51"/>
      <c r="I13" s="120">
        <f>SUM(I14)</f>
        <v>28710</v>
      </c>
      <c r="J13" s="51"/>
      <c r="K13" s="120">
        <f>SUM(K14)</f>
        <v>0</v>
      </c>
      <c r="L13" s="51"/>
      <c r="M13" s="120">
        <f>SUM(M14)</f>
        <v>0</v>
      </c>
      <c r="N13" s="61"/>
      <c r="O13" s="120">
        <f>SUM(O14)</f>
        <v>28710</v>
      </c>
      <c r="P13" s="61"/>
      <c r="Q13" s="120">
        <f>SUM(Q14)</f>
        <v>0</v>
      </c>
    </row>
    <row r="14" spans="1:36" x14ac:dyDescent="0.2">
      <c r="A14" s="3" t="s">
        <v>32</v>
      </c>
      <c r="B14" s="118" t="s">
        <v>33</v>
      </c>
      <c r="C14" s="47">
        <v>28710</v>
      </c>
      <c r="D14" s="47">
        <v>2</v>
      </c>
      <c r="E14" s="4">
        <f>SUM(C14*D14)</f>
        <v>57420</v>
      </c>
      <c r="F14" s="14"/>
      <c r="G14" s="14"/>
      <c r="H14" s="48">
        <v>1</v>
      </c>
      <c r="I14" s="55">
        <f>SUM(H14*$C14)</f>
        <v>28710</v>
      </c>
      <c r="J14" s="48"/>
      <c r="K14" s="121">
        <f>SUM(J14*$C14)</f>
        <v>0</v>
      </c>
      <c r="L14" s="48"/>
      <c r="M14" s="121">
        <f>SUM(L14*$C14)</f>
        <v>0</v>
      </c>
      <c r="N14" s="62">
        <v>1</v>
      </c>
      <c r="O14" s="121">
        <f>SUM(N14*$C14)</f>
        <v>28710</v>
      </c>
      <c r="P14" s="62"/>
      <c r="Q14" s="121">
        <f>SUM(P14*$C14)</f>
        <v>0</v>
      </c>
    </row>
    <row r="15" spans="1:36" s="2" customFormat="1" x14ac:dyDescent="0.2">
      <c r="A15" s="40" t="s">
        <v>34</v>
      </c>
      <c r="B15" s="40" t="s">
        <v>35</v>
      </c>
      <c r="C15" s="17"/>
      <c r="D15" s="17"/>
      <c r="E15" s="120">
        <f>SUM(E16:E17)</f>
        <v>45404</v>
      </c>
      <c r="F15" s="14"/>
      <c r="G15" s="14"/>
      <c r="H15" s="51"/>
      <c r="I15" s="120">
        <f>SUM(I16:I17)</f>
        <v>9851</v>
      </c>
      <c r="J15" s="51"/>
      <c r="K15" s="120">
        <f>SUM(K16:K17)</f>
        <v>11851</v>
      </c>
      <c r="L15" s="51"/>
      <c r="M15" s="120">
        <f>SUM(M16:M17)</f>
        <v>11851</v>
      </c>
      <c r="N15" s="61"/>
      <c r="O15" s="120">
        <f>SUM(O16:O17)</f>
        <v>11851</v>
      </c>
      <c r="P15" s="61"/>
      <c r="Q15" s="120">
        <f>SUM(Q16:Q17)</f>
        <v>0</v>
      </c>
      <c r="R15"/>
      <c r="S15"/>
      <c r="T15"/>
      <c r="U15"/>
      <c r="V15"/>
      <c r="W15"/>
      <c r="X15"/>
      <c r="Y15"/>
      <c r="Z15"/>
      <c r="AA15"/>
      <c r="AB15"/>
      <c r="AC15"/>
      <c r="AD15"/>
      <c r="AE15"/>
      <c r="AF15"/>
      <c r="AG15"/>
      <c r="AH15"/>
      <c r="AI15"/>
      <c r="AJ15"/>
    </row>
    <row r="16" spans="1:36" x14ac:dyDescent="0.2">
      <c r="A16" s="3" t="s">
        <v>36</v>
      </c>
      <c r="B16" s="118" t="s">
        <v>37</v>
      </c>
      <c r="C16" s="47">
        <v>2000</v>
      </c>
      <c r="D16" s="47">
        <v>11</v>
      </c>
      <c r="E16" s="4">
        <f>SUM(C16*D16)</f>
        <v>22000</v>
      </c>
      <c r="F16" s="14"/>
      <c r="G16" s="14"/>
      <c r="H16" s="48">
        <v>2</v>
      </c>
      <c r="I16" s="55">
        <f>SUM(H16*$C16)</f>
        <v>4000</v>
      </c>
      <c r="J16" s="48">
        <v>3</v>
      </c>
      <c r="K16" s="55">
        <f>SUM(J16*$C16)</f>
        <v>6000</v>
      </c>
      <c r="L16" s="48">
        <v>3</v>
      </c>
      <c r="M16" s="55">
        <f>SUM(L16*$C16)</f>
        <v>6000</v>
      </c>
      <c r="N16" s="62">
        <v>3</v>
      </c>
      <c r="O16" s="55">
        <f>SUM(N16*$C16)</f>
        <v>6000</v>
      </c>
      <c r="P16" s="62"/>
      <c r="Q16" s="55"/>
    </row>
    <row r="17" spans="1:17" x14ac:dyDescent="0.2">
      <c r="A17" s="3" t="s">
        <v>38</v>
      </c>
      <c r="B17" s="118" t="s">
        <v>39</v>
      </c>
      <c r="C17" s="47"/>
      <c r="D17" s="47"/>
      <c r="E17" s="117">
        <v>23404</v>
      </c>
      <c r="F17" s="14"/>
      <c r="G17" s="14"/>
      <c r="H17" s="48"/>
      <c r="I17" s="55">
        <v>5851</v>
      </c>
      <c r="J17" s="48"/>
      <c r="K17" s="55">
        <v>5851</v>
      </c>
      <c r="L17" s="48"/>
      <c r="M17" s="55">
        <v>5851</v>
      </c>
      <c r="N17" s="62"/>
      <c r="O17" s="55">
        <v>5851</v>
      </c>
      <c r="P17" s="62"/>
      <c r="Q17" s="55"/>
    </row>
    <row r="18" spans="1:17" ht="38.25" x14ac:dyDescent="0.2">
      <c r="A18" s="39">
        <v>2</v>
      </c>
      <c r="B18" s="39" t="s">
        <v>40</v>
      </c>
      <c r="C18" s="17"/>
      <c r="D18" s="17"/>
      <c r="E18" s="31">
        <f>SUMIFS(E$8:E$72,$A$8:$A$72,"&lt;"&amp;$A$42,$A$8:$A$72,"&gt;"&amp;$A$18)</f>
        <v>3514862</v>
      </c>
      <c r="F18" s="44">
        <v>0.85</v>
      </c>
      <c r="G18" s="13">
        <f>E18/$C$7*F18</f>
        <v>2883589.893068206</v>
      </c>
      <c r="H18" s="52"/>
      <c r="I18" s="77">
        <f>I19+I26+I36</f>
        <v>1427515</v>
      </c>
      <c r="J18" s="52"/>
      <c r="K18" s="77">
        <f>K19+K26+K36</f>
        <v>735215</v>
      </c>
      <c r="L18" s="52"/>
      <c r="M18" s="77">
        <f>M19+M26+M36</f>
        <v>732485</v>
      </c>
      <c r="N18" s="63"/>
      <c r="O18" s="77">
        <f>O19+O26+O36</f>
        <v>619647</v>
      </c>
      <c r="P18" s="63"/>
      <c r="Q18" s="77">
        <f>Q19+Q26+Q36</f>
        <v>0</v>
      </c>
    </row>
    <row r="19" spans="1:17" x14ac:dyDescent="0.2">
      <c r="A19" s="70">
        <v>2.1</v>
      </c>
      <c r="B19" s="71" t="s">
        <v>41</v>
      </c>
      <c r="C19" s="72"/>
      <c r="D19" s="72"/>
      <c r="E19" s="73">
        <f>E20+E21+E22+E23+E24+E25</f>
        <v>301700</v>
      </c>
      <c r="F19" s="74">
        <f>E19*85%</f>
        <v>256445</v>
      </c>
      <c r="G19" s="75"/>
      <c r="H19" s="76"/>
      <c r="I19" s="77">
        <f>SUM(I20:I25)</f>
        <v>75365</v>
      </c>
      <c r="J19" s="76"/>
      <c r="K19" s="77">
        <f>SUM(K20:K25)</f>
        <v>75865</v>
      </c>
      <c r="L19" s="76"/>
      <c r="M19" s="77">
        <f>SUM(M20:M25)</f>
        <v>74335</v>
      </c>
      <c r="N19" s="79"/>
      <c r="O19" s="77">
        <f>SUM(O20:O25)</f>
        <v>76135</v>
      </c>
      <c r="P19" s="79"/>
      <c r="Q19" s="77"/>
    </row>
    <row r="20" spans="1:17" ht="51" x14ac:dyDescent="0.2">
      <c r="A20" s="80" t="s">
        <v>42</v>
      </c>
      <c r="B20" s="69" t="s">
        <v>43</v>
      </c>
      <c r="C20" s="81">
        <v>3650</v>
      </c>
      <c r="D20" s="82" t="s">
        <v>44</v>
      </c>
      <c r="E20" s="83">
        <f>I20+K20+M20+O20</f>
        <v>174000</v>
      </c>
      <c r="F20" s="74">
        <f t="shared" ref="F20:F25" si="4">E20*85%</f>
        <v>147900</v>
      </c>
      <c r="G20" s="75"/>
      <c r="H20" s="76">
        <v>12</v>
      </c>
      <c r="I20" s="84">
        <v>43500</v>
      </c>
      <c r="J20" s="76">
        <v>12</v>
      </c>
      <c r="K20" s="85">
        <v>43500</v>
      </c>
      <c r="L20" s="76">
        <v>12</v>
      </c>
      <c r="M20" s="85">
        <v>43500</v>
      </c>
      <c r="N20" s="79">
        <v>12</v>
      </c>
      <c r="O20" s="85">
        <v>43500</v>
      </c>
      <c r="P20" s="79"/>
      <c r="Q20" s="85"/>
    </row>
    <row r="21" spans="1:17" ht="38.25" x14ac:dyDescent="0.2">
      <c r="A21" s="80" t="s">
        <v>45</v>
      </c>
      <c r="B21" s="69" t="s">
        <v>46</v>
      </c>
      <c r="C21" s="81"/>
      <c r="D21" s="82" t="s">
        <v>47</v>
      </c>
      <c r="E21" s="83">
        <v>107460</v>
      </c>
      <c r="F21" s="74">
        <f t="shared" si="4"/>
        <v>91341</v>
      </c>
      <c r="G21" s="75"/>
      <c r="H21" s="76">
        <v>12</v>
      </c>
      <c r="I21" s="84">
        <f>(I20+I27+I28+I37+I38+I39)*15%</f>
        <v>26865</v>
      </c>
      <c r="J21" s="76">
        <v>12</v>
      </c>
      <c r="K21" s="85">
        <f>(K20+K27+K28+K37+K38+K39)*15%</f>
        <v>26865</v>
      </c>
      <c r="L21" s="76">
        <v>12</v>
      </c>
      <c r="M21" s="85">
        <f>(M20+M27+M28+M37+M38+M39)*15%</f>
        <v>26865</v>
      </c>
      <c r="N21" s="79">
        <v>12</v>
      </c>
      <c r="O21" s="85">
        <f>(O20+O27+O28+O37+O38+O39)*15%</f>
        <v>26865</v>
      </c>
      <c r="P21" s="79"/>
      <c r="Q21" s="85"/>
    </row>
    <row r="22" spans="1:17" x14ac:dyDescent="0.2">
      <c r="A22" s="80" t="s">
        <v>48</v>
      </c>
      <c r="B22" s="69" t="s">
        <v>49</v>
      </c>
      <c r="C22" s="81" t="s">
        <v>50</v>
      </c>
      <c r="D22" s="82" t="s">
        <v>51</v>
      </c>
      <c r="E22" s="83">
        <f t="shared" ref="E22:E23" si="5">I22+K22+M22+O22</f>
        <v>4200</v>
      </c>
      <c r="F22" s="74">
        <f t="shared" si="4"/>
        <v>3570</v>
      </c>
      <c r="G22" s="75"/>
      <c r="H22" s="76">
        <v>3500</v>
      </c>
      <c r="I22" s="84">
        <f>H22*0.3</f>
        <v>1050</v>
      </c>
      <c r="J22" s="76">
        <v>3500</v>
      </c>
      <c r="K22" s="85">
        <f>J22*0.3</f>
        <v>1050</v>
      </c>
      <c r="L22" s="76">
        <v>3500</v>
      </c>
      <c r="M22" s="85">
        <f>L22*0.3</f>
        <v>1050</v>
      </c>
      <c r="N22" s="79">
        <v>3500</v>
      </c>
      <c r="O22" s="85">
        <f>N22*0.3</f>
        <v>1050</v>
      </c>
      <c r="P22" s="79"/>
      <c r="Q22" s="85"/>
    </row>
    <row r="23" spans="1:17" ht="25.5" x14ac:dyDescent="0.2">
      <c r="A23" s="80" t="s">
        <v>52</v>
      </c>
      <c r="B23" s="69" t="s">
        <v>53</v>
      </c>
      <c r="C23" s="80">
        <v>1200</v>
      </c>
      <c r="D23" s="80" t="s">
        <v>54</v>
      </c>
      <c r="E23" s="96">
        <f t="shared" si="5"/>
        <v>3600</v>
      </c>
      <c r="F23" s="74">
        <f t="shared" si="4"/>
        <v>3060</v>
      </c>
      <c r="G23" s="75"/>
      <c r="H23" s="76">
        <v>1</v>
      </c>
      <c r="I23" s="84">
        <f>C23*H23</f>
        <v>1200</v>
      </c>
      <c r="J23" s="76">
        <v>1</v>
      </c>
      <c r="K23" s="85">
        <v>1200</v>
      </c>
      <c r="L23" s="76">
        <v>0</v>
      </c>
      <c r="M23" s="85">
        <v>0</v>
      </c>
      <c r="N23" s="79">
        <v>1</v>
      </c>
      <c r="O23" s="85">
        <v>1200</v>
      </c>
      <c r="P23" s="79"/>
      <c r="Q23" s="85"/>
    </row>
    <row r="24" spans="1:17" x14ac:dyDescent="0.2">
      <c r="A24" s="80" t="s">
        <v>55</v>
      </c>
      <c r="B24" s="69" t="s">
        <v>56</v>
      </c>
      <c r="C24" s="81" t="s">
        <v>57</v>
      </c>
      <c r="D24" s="82">
        <v>98</v>
      </c>
      <c r="E24" s="83">
        <f>I24+K24+M24+O24</f>
        <v>2940</v>
      </c>
      <c r="F24" s="74">
        <f t="shared" si="4"/>
        <v>2499</v>
      </c>
      <c r="G24" s="75"/>
      <c r="H24" s="76">
        <v>25</v>
      </c>
      <c r="I24" s="84">
        <f>H24*30</f>
        <v>750</v>
      </c>
      <c r="J24" s="76">
        <v>25</v>
      </c>
      <c r="K24" s="85">
        <f>J24*30</f>
        <v>750</v>
      </c>
      <c r="L24" s="76">
        <v>14</v>
      </c>
      <c r="M24" s="85">
        <f>L24*30</f>
        <v>420</v>
      </c>
      <c r="N24" s="79">
        <v>34</v>
      </c>
      <c r="O24" s="85">
        <f>N24*30</f>
        <v>1020</v>
      </c>
      <c r="P24" s="79"/>
      <c r="Q24" s="85"/>
    </row>
    <row r="25" spans="1:17" x14ac:dyDescent="0.2">
      <c r="A25" s="80" t="s">
        <v>58</v>
      </c>
      <c r="B25" s="69" t="s">
        <v>59</v>
      </c>
      <c r="C25" s="81">
        <v>2375</v>
      </c>
      <c r="D25" s="82" t="s">
        <v>60</v>
      </c>
      <c r="E25" s="83">
        <f t="shared" ref="E25" si="6">I25+K25+M25+O25</f>
        <v>9500</v>
      </c>
      <c r="F25" s="74">
        <f t="shared" si="4"/>
        <v>8075</v>
      </c>
      <c r="G25" s="75"/>
      <c r="H25" s="76">
        <v>1</v>
      </c>
      <c r="I25" s="84">
        <v>2000</v>
      </c>
      <c r="J25" s="76">
        <v>1</v>
      </c>
      <c r="K25" s="85">
        <v>2500</v>
      </c>
      <c r="L25" s="76">
        <v>1</v>
      </c>
      <c r="M25" s="85">
        <v>2500</v>
      </c>
      <c r="N25" s="79">
        <v>1</v>
      </c>
      <c r="O25" s="85">
        <v>2500</v>
      </c>
      <c r="P25" s="79"/>
      <c r="Q25" s="85"/>
    </row>
    <row r="26" spans="1:17" x14ac:dyDescent="0.2">
      <c r="A26" s="86">
        <v>2.2000000000000002</v>
      </c>
      <c r="B26" s="87" t="s">
        <v>61</v>
      </c>
      <c r="C26" s="88"/>
      <c r="D26" s="89"/>
      <c r="E26" s="90">
        <f>SUM(E27:E35)</f>
        <v>1927562</v>
      </c>
      <c r="F26" s="91">
        <f>SUM(F27:F35)</f>
        <v>1638427.7</v>
      </c>
      <c r="G26" s="75"/>
      <c r="H26" s="76"/>
      <c r="I26" s="77">
        <f>SUM(I27:I35)</f>
        <v>1180750</v>
      </c>
      <c r="J26" s="76"/>
      <c r="K26" s="77">
        <f>SUM(K27:K35)</f>
        <v>287950</v>
      </c>
      <c r="L26" s="76"/>
      <c r="M26" s="77">
        <f>SUM(M27:M35)</f>
        <v>286750</v>
      </c>
      <c r="N26" s="79"/>
      <c r="O26" s="77">
        <f>SUM(O27:O35)</f>
        <v>172112</v>
      </c>
      <c r="P26" s="79"/>
      <c r="Q26" s="77"/>
    </row>
    <row r="27" spans="1:17" ht="51" x14ac:dyDescent="0.2">
      <c r="A27" s="80" t="s">
        <v>62</v>
      </c>
      <c r="B27" s="67" t="s">
        <v>63</v>
      </c>
      <c r="C27" s="81">
        <v>2850</v>
      </c>
      <c r="D27" s="82" t="s">
        <v>44</v>
      </c>
      <c r="E27" s="83">
        <f>I27+K27+M27+O27</f>
        <v>136800</v>
      </c>
      <c r="F27" s="74">
        <f>E27*85%</f>
        <v>116280</v>
      </c>
      <c r="G27" s="75"/>
      <c r="H27" s="76">
        <v>12</v>
      </c>
      <c r="I27" s="84">
        <f>C27*12</f>
        <v>34200</v>
      </c>
      <c r="J27" s="76">
        <v>12</v>
      </c>
      <c r="K27" s="84">
        <f>C27*12</f>
        <v>34200</v>
      </c>
      <c r="L27" s="76">
        <v>12</v>
      </c>
      <c r="M27" s="85">
        <f>C27*12</f>
        <v>34200</v>
      </c>
      <c r="N27" s="79">
        <v>12</v>
      </c>
      <c r="O27" s="85">
        <f>C27*12</f>
        <v>34200</v>
      </c>
      <c r="P27" s="79"/>
      <c r="Q27" s="85"/>
    </row>
    <row r="28" spans="1:17" ht="38.25" x14ac:dyDescent="0.2">
      <c r="A28" s="80" t="s">
        <v>64</v>
      </c>
      <c r="B28" s="67" t="s">
        <v>65</v>
      </c>
      <c r="C28" s="81">
        <v>2500</v>
      </c>
      <c r="D28" s="82" t="s">
        <v>44</v>
      </c>
      <c r="E28" s="83">
        <f>I28+K28+M28+O28</f>
        <v>120000</v>
      </c>
      <c r="F28" s="74">
        <f t="shared" ref="F28:F36" si="7">E28*85%</f>
        <v>102000</v>
      </c>
      <c r="G28" s="75"/>
      <c r="H28" s="76">
        <v>12</v>
      </c>
      <c r="I28" s="84">
        <f>C28*12</f>
        <v>30000</v>
      </c>
      <c r="J28" s="76">
        <v>12</v>
      </c>
      <c r="K28" s="85">
        <f>C28*12</f>
        <v>30000</v>
      </c>
      <c r="L28" s="76">
        <v>12</v>
      </c>
      <c r="M28" s="85">
        <f>C28*12</f>
        <v>30000</v>
      </c>
      <c r="N28" s="79">
        <v>12</v>
      </c>
      <c r="O28" s="85">
        <f>C28*12</f>
        <v>30000</v>
      </c>
      <c r="P28" s="79"/>
      <c r="Q28" s="85"/>
    </row>
    <row r="29" spans="1:17" ht="25.5" x14ac:dyDescent="0.2">
      <c r="A29" s="80" t="s">
        <v>66</v>
      </c>
      <c r="B29" s="67" t="s">
        <v>67</v>
      </c>
      <c r="C29" s="81"/>
      <c r="D29" s="82"/>
      <c r="E29" s="83">
        <f>I29+K29+M29+O29</f>
        <v>609862</v>
      </c>
      <c r="F29" s="74">
        <f t="shared" si="7"/>
        <v>518382.7</v>
      </c>
      <c r="G29" s="75"/>
      <c r="H29" s="76"/>
      <c r="I29" s="84">
        <v>200000</v>
      </c>
      <c r="J29" s="76"/>
      <c r="K29" s="85">
        <v>175000</v>
      </c>
      <c r="L29" s="76"/>
      <c r="M29" s="85">
        <v>175000</v>
      </c>
      <c r="N29" s="79"/>
      <c r="O29" s="85">
        <v>59862</v>
      </c>
      <c r="P29" s="79"/>
      <c r="Q29" s="85"/>
    </row>
    <row r="30" spans="1:17" x14ac:dyDescent="0.2">
      <c r="A30" s="80" t="s">
        <v>68</v>
      </c>
      <c r="B30" s="67" t="s">
        <v>69</v>
      </c>
      <c r="C30" s="81">
        <v>900000</v>
      </c>
      <c r="D30" s="82">
        <v>1</v>
      </c>
      <c r="E30" s="83">
        <v>900000</v>
      </c>
      <c r="F30" s="74">
        <f t="shared" si="7"/>
        <v>765000</v>
      </c>
      <c r="G30" s="75"/>
      <c r="H30" s="76">
        <v>1</v>
      </c>
      <c r="I30" s="84">
        <v>900000</v>
      </c>
      <c r="J30" s="76">
        <v>0</v>
      </c>
      <c r="K30" s="85">
        <v>0</v>
      </c>
      <c r="L30" s="76">
        <v>0</v>
      </c>
      <c r="M30" s="85">
        <v>0</v>
      </c>
      <c r="N30" s="79">
        <v>0</v>
      </c>
      <c r="O30" s="85">
        <v>0</v>
      </c>
      <c r="P30" s="79"/>
      <c r="Q30" s="85"/>
    </row>
    <row r="31" spans="1:17" x14ac:dyDescent="0.2">
      <c r="A31" s="80" t="s">
        <v>70</v>
      </c>
      <c r="B31" s="67" t="s">
        <v>71</v>
      </c>
      <c r="C31" s="81">
        <v>30000</v>
      </c>
      <c r="D31" s="82">
        <v>3</v>
      </c>
      <c r="E31" s="83">
        <f>K31+M31+O31</f>
        <v>90000</v>
      </c>
      <c r="F31" s="74">
        <f t="shared" si="7"/>
        <v>76500</v>
      </c>
      <c r="G31" s="75"/>
      <c r="H31" s="76">
        <v>0</v>
      </c>
      <c r="I31" s="84">
        <v>0</v>
      </c>
      <c r="J31" s="76">
        <v>1</v>
      </c>
      <c r="K31" s="85">
        <v>30000</v>
      </c>
      <c r="L31" s="76">
        <v>1</v>
      </c>
      <c r="M31" s="85">
        <v>30000</v>
      </c>
      <c r="N31" s="79">
        <v>1</v>
      </c>
      <c r="O31" s="85">
        <v>30000</v>
      </c>
      <c r="P31" s="79"/>
      <c r="Q31" s="85"/>
    </row>
    <row r="32" spans="1:17" ht="25.5" x14ac:dyDescent="0.2">
      <c r="A32" s="80" t="s">
        <v>72</v>
      </c>
      <c r="B32" s="41" t="s">
        <v>73</v>
      </c>
      <c r="C32" s="81" t="s">
        <v>50</v>
      </c>
      <c r="D32" s="82" t="s">
        <v>51</v>
      </c>
      <c r="E32" s="83">
        <f>I32+K32+M32+O32</f>
        <v>18300</v>
      </c>
      <c r="F32" s="74">
        <f t="shared" si="7"/>
        <v>15555</v>
      </c>
      <c r="G32" s="75"/>
      <c r="H32" s="76">
        <v>11500</v>
      </c>
      <c r="I32" s="84">
        <f>H32*0.3</f>
        <v>3450</v>
      </c>
      <c r="J32" s="76">
        <v>16500</v>
      </c>
      <c r="K32" s="85">
        <f>J32*0.3</f>
        <v>4950</v>
      </c>
      <c r="L32" s="76">
        <v>16500</v>
      </c>
      <c r="M32" s="85">
        <f>L32*0.3</f>
        <v>4950</v>
      </c>
      <c r="N32" s="79">
        <v>16500</v>
      </c>
      <c r="O32" s="85">
        <f>N32*0.3</f>
        <v>4950</v>
      </c>
      <c r="P32" s="79"/>
      <c r="Q32" s="85"/>
    </row>
    <row r="33" spans="1:17" x14ac:dyDescent="0.2">
      <c r="A33" s="80" t="s">
        <v>74</v>
      </c>
      <c r="B33" s="41" t="s">
        <v>75</v>
      </c>
      <c r="C33" s="81" t="s">
        <v>76</v>
      </c>
      <c r="D33" s="82" t="s">
        <v>77</v>
      </c>
      <c r="E33" s="83">
        <f>I33+K33+M33+O33</f>
        <v>4200</v>
      </c>
      <c r="F33" s="74">
        <f t="shared" si="7"/>
        <v>3570</v>
      </c>
      <c r="G33" s="75"/>
      <c r="H33" s="76">
        <v>10</v>
      </c>
      <c r="I33" s="84">
        <f>H33*70</f>
        <v>700</v>
      </c>
      <c r="J33" s="76">
        <v>20</v>
      </c>
      <c r="K33" s="85">
        <f>J33*70</f>
        <v>1400</v>
      </c>
      <c r="L33" s="76">
        <v>20</v>
      </c>
      <c r="M33" s="85">
        <f>L33*70</f>
        <v>1400</v>
      </c>
      <c r="N33" s="79">
        <v>10</v>
      </c>
      <c r="O33" s="85">
        <f>N33*70</f>
        <v>700</v>
      </c>
      <c r="P33" s="79"/>
      <c r="Q33" s="85"/>
    </row>
    <row r="34" spans="1:17" ht="38.25" x14ac:dyDescent="0.2">
      <c r="A34" s="80" t="s">
        <v>78</v>
      </c>
      <c r="B34" s="41" t="s">
        <v>79</v>
      </c>
      <c r="C34" s="81">
        <v>10000</v>
      </c>
      <c r="D34" s="82" t="s">
        <v>60</v>
      </c>
      <c r="E34" s="83">
        <f>I34+K34+M34+O34</f>
        <v>40000</v>
      </c>
      <c r="F34" s="74">
        <f t="shared" si="7"/>
        <v>34000</v>
      </c>
      <c r="G34" s="75"/>
      <c r="H34" s="76">
        <v>1</v>
      </c>
      <c r="I34" s="84">
        <v>10000</v>
      </c>
      <c r="J34" s="76">
        <v>1</v>
      </c>
      <c r="K34" s="85">
        <v>10000</v>
      </c>
      <c r="L34" s="76">
        <v>1</v>
      </c>
      <c r="M34" s="85">
        <v>10000</v>
      </c>
      <c r="N34" s="79">
        <v>1</v>
      </c>
      <c r="O34" s="85">
        <v>10000</v>
      </c>
      <c r="P34" s="79"/>
      <c r="Q34" s="85"/>
    </row>
    <row r="35" spans="1:17" ht="25.5" x14ac:dyDescent="0.2">
      <c r="A35" s="80" t="s">
        <v>80</v>
      </c>
      <c r="B35" s="41" t="s">
        <v>81</v>
      </c>
      <c r="C35" s="81">
        <v>1200</v>
      </c>
      <c r="D35" s="82" t="s">
        <v>54</v>
      </c>
      <c r="E35" s="83">
        <f>I35+K35+M35+O35</f>
        <v>8400</v>
      </c>
      <c r="F35" s="74">
        <f t="shared" si="7"/>
        <v>7140</v>
      </c>
      <c r="G35" s="75"/>
      <c r="H35" s="76">
        <v>2</v>
      </c>
      <c r="I35" s="84">
        <v>2400</v>
      </c>
      <c r="J35" s="76">
        <v>2</v>
      </c>
      <c r="K35" s="85">
        <v>2400</v>
      </c>
      <c r="L35" s="76">
        <v>1</v>
      </c>
      <c r="M35" s="85">
        <v>1200</v>
      </c>
      <c r="N35" s="79">
        <v>2</v>
      </c>
      <c r="O35" s="85">
        <v>2400</v>
      </c>
      <c r="P35" s="79"/>
      <c r="Q35" s="85"/>
    </row>
    <row r="36" spans="1:17" x14ac:dyDescent="0.2">
      <c r="A36" s="86">
        <v>2.2999999999999998</v>
      </c>
      <c r="B36" s="87" t="s">
        <v>82</v>
      </c>
      <c r="C36" s="81"/>
      <c r="D36" s="82"/>
      <c r="E36" s="90">
        <f>SUM(E37:E40)</f>
        <v>1285600</v>
      </c>
      <c r="F36" s="91">
        <f t="shared" si="7"/>
        <v>1092760</v>
      </c>
      <c r="G36" s="75"/>
      <c r="H36" s="76"/>
      <c r="I36" s="77">
        <f>SUM(I37:I40)</f>
        <v>171400</v>
      </c>
      <c r="J36" s="76"/>
      <c r="K36" s="77">
        <f>SUM(K37:K40)</f>
        <v>371400</v>
      </c>
      <c r="L36" s="76"/>
      <c r="M36" s="77">
        <f>SUM(M37:M40)</f>
        <v>371400</v>
      </c>
      <c r="N36" s="79"/>
      <c r="O36" s="77">
        <f>SUM(O37:O40)</f>
        <v>371400</v>
      </c>
      <c r="P36" s="79"/>
      <c r="Q36" s="77"/>
    </row>
    <row r="37" spans="1:17" ht="25.5" x14ac:dyDescent="0.2">
      <c r="A37" s="92" t="s">
        <v>83</v>
      </c>
      <c r="B37" s="67" t="s">
        <v>84</v>
      </c>
      <c r="C37" s="81">
        <v>3100</v>
      </c>
      <c r="D37" s="82" t="s">
        <v>44</v>
      </c>
      <c r="E37" s="83">
        <f>I37+K37+M37+O37</f>
        <v>74400</v>
      </c>
      <c r="F37" s="74">
        <f>E37*85%</f>
        <v>63240</v>
      </c>
      <c r="G37" s="75"/>
      <c r="H37" s="76">
        <v>6</v>
      </c>
      <c r="I37" s="84">
        <f>C37*6</f>
        <v>18600</v>
      </c>
      <c r="J37" s="76">
        <v>6</v>
      </c>
      <c r="K37" s="84">
        <v>18600</v>
      </c>
      <c r="L37" s="76">
        <v>6</v>
      </c>
      <c r="M37" s="85">
        <v>18600</v>
      </c>
      <c r="N37" s="79">
        <v>6</v>
      </c>
      <c r="O37" s="85">
        <v>18600</v>
      </c>
      <c r="P37" s="79"/>
      <c r="Q37" s="85"/>
    </row>
    <row r="38" spans="1:17" ht="25.5" x14ac:dyDescent="0.2">
      <c r="A38" s="92" t="s">
        <v>85</v>
      </c>
      <c r="B38" s="67" t="s">
        <v>86</v>
      </c>
      <c r="C38" s="81">
        <v>4000</v>
      </c>
      <c r="D38" s="82" t="s">
        <v>44</v>
      </c>
      <c r="E38" s="83">
        <f t="shared" ref="E38:E39" si="8">I38+K38+M38+O38</f>
        <v>96000</v>
      </c>
      <c r="F38" s="74">
        <f t="shared" ref="F38:F40" si="9">E38*85%</f>
        <v>81600</v>
      </c>
      <c r="G38" s="75"/>
      <c r="H38" s="76">
        <v>6</v>
      </c>
      <c r="I38" s="84">
        <f>H38*4000</f>
        <v>24000</v>
      </c>
      <c r="J38" s="76">
        <v>6</v>
      </c>
      <c r="K38" s="85">
        <v>24000</v>
      </c>
      <c r="L38" s="76">
        <v>24000</v>
      </c>
      <c r="M38" s="85">
        <v>24000</v>
      </c>
      <c r="N38" s="79">
        <v>6</v>
      </c>
      <c r="O38" s="85">
        <v>24000</v>
      </c>
      <c r="P38" s="79"/>
      <c r="Q38" s="85"/>
    </row>
    <row r="39" spans="1:17" ht="38.25" x14ac:dyDescent="0.2">
      <c r="A39" s="80" t="s">
        <v>87</v>
      </c>
      <c r="B39" s="67" t="s">
        <v>88</v>
      </c>
      <c r="C39" s="81">
        <v>2400</v>
      </c>
      <c r="D39" s="82" t="s">
        <v>44</v>
      </c>
      <c r="E39" s="83">
        <f t="shared" si="8"/>
        <v>115200</v>
      </c>
      <c r="F39" s="74">
        <f t="shared" si="9"/>
        <v>97920</v>
      </c>
      <c r="G39" s="75"/>
      <c r="H39" s="76">
        <v>12</v>
      </c>
      <c r="I39" s="84">
        <f>2400*12</f>
        <v>28800</v>
      </c>
      <c r="J39" s="76">
        <v>12</v>
      </c>
      <c r="K39" s="85">
        <v>28800</v>
      </c>
      <c r="L39" s="76">
        <v>12</v>
      </c>
      <c r="M39" s="85">
        <v>28800</v>
      </c>
      <c r="N39" s="79">
        <v>12</v>
      </c>
      <c r="O39" s="85">
        <v>28800</v>
      </c>
      <c r="P39" s="79"/>
      <c r="Q39" s="85"/>
    </row>
    <row r="40" spans="1:17" x14ac:dyDescent="0.2">
      <c r="A40" s="80" t="s">
        <v>89</v>
      </c>
      <c r="B40" s="67" t="s">
        <v>90</v>
      </c>
      <c r="C40" s="81" t="s">
        <v>91</v>
      </c>
      <c r="D40" s="82">
        <f>H40+J40+L40+N40</f>
        <v>13333</v>
      </c>
      <c r="E40" s="83">
        <f>I40+K40+M40+O40</f>
        <v>1000000</v>
      </c>
      <c r="F40" s="74">
        <f t="shared" si="9"/>
        <v>850000</v>
      </c>
      <c r="G40" s="75"/>
      <c r="H40" s="76">
        <v>1333</v>
      </c>
      <c r="I40" s="84">
        <v>100000</v>
      </c>
      <c r="J40" s="76">
        <v>4000</v>
      </c>
      <c r="K40" s="85">
        <v>300000</v>
      </c>
      <c r="L40" s="76">
        <v>4000</v>
      </c>
      <c r="M40" s="85">
        <v>300000</v>
      </c>
      <c r="N40" s="79">
        <v>4000</v>
      </c>
      <c r="O40" s="85">
        <v>300000</v>
      </c>
      <c r="P40" s="79"/>
      <c r="Q40" s="85"/>
    </row>
    <row r="41" spans="1:17" ht="38.25" x14ac:dyDescent="0.2">
      <c r="A41" s="39" t="s">
        <v>92</v>
      </c>
      <c r="B41" s="39" t="s">
        <v>93</v>
      </c>
      <c r="C41" s="17"/>
      <c r="D41" s="17"/>
      <c r="E41" s="31">
        <f>SUM(E42,E48,E55,E64)</f>
        <v>4684861.0030304072</v>
      </c>
      <c r="F41" s="44">
        <v>0.85</v>
      </c>
      <c r="G41" s="13">
        <f>E41/$C$7*F41</f>
        <v>3843456.1125779222</v>
      </c>
      <c r="H41" s="52"/>
      <c r="I41" s="125">
        <f>I42+I48+I55+I64</f>
        <v>758288.10499999998</v>
      </c>
      <c r="J41" s="122"/>
      <c r="K41" s="125">
        <f>K42+K48+K55+K64</f>
        <v>1275365.20909</v>
      </c>
      <c r="L41" s="122"/>
      <c r="M41" s="125">
        <f>M42+M48+M55+M64</f>
        <v>1306648.6266290499</v>
      </c>
      <c r="N41" s="123"/>
      <c r="O41" s="125">
        <f>O42+O48+O55+O64</f>
        <v>1344559.0623113569</v>
      </c>
      <c r="P41" s="79"/>
      <c r="Q41" s="125">
        <f>Q42+Q48+Q55+Q64</f>
        <v>0</v>
      </c>
    </row>
    <row r="42" spans="1:17" x14ac:dyDescent="0.2">
      <c r="A42" s="93">
        <v>3.1</v>
      </c>
      <c r="B42" s="71" t="s">
        <v>94</v>
      </c>
      <c r="C42" s="72"/>
      <c r="D42" s="72"/>
      <c r="E42" s="73">
        <f>SUM(E43:E47)</f>
        <v>961111.14229908225</v>
      </c>
      <c r="F42" s="74"/>
      <c r="G42" s="75"/>
      <c r="H42" s="76"/>
      <c r="I42" s="77">
        <f>SUM(I43:I47)</f>
        <v>153498.747</v>
      </c>
      <c r="J42" s="76"/>
      <c r="K42" s="78">
        <f>SUM(K43:K47)</f>
        <v>261025.88008999999</v>
      </c>
      <c r="L42" s="76"/>
      <c r="M42" s="78">
        <f>SUM(M43:M47)</f>
        <v>269096.43704405002</v>
      </c>
      <c r="N42" s="79"/>
      <c r="O42" s="78">
        <f>SUM(O43:O47)</f>
        <v>277490.0781650322</v>
      </c>
      <c r="P42" s="63"/>
      <c r="Q42" s="32"/>
    </row>
    <row r="43" spans="1:17" ht="25.5" x14ac:dyDescent="0.2">
      <c r="A43" s="94" t="s">
        <v>95</v>
      </c>
      <c r="B43" s="69" t="s">
        <v>96</v>
      </c>
      <c r="C43" s="72">
        <v>2485.34</v>
      </c>
      <c r="D43" s="95" t="s">
        <v>97</v>
      </c>
      <c r="E43" s="83">
        <f t="shared" ref="E43:E47" si="10">SUM(I43,K43,M43,O43)</f>
        <v>127593.11436728999</v>
      </c>
      <c r="F43" s="74"/>
      <c r="G43" s="75"/>
      <c r="H43" s="76">
        <v>12</v>
      </c>
      <c r="I43" s="84">
        <f>C43*H43</f>
        <v>29824.080000000002</v>
      </c>
      <c r="J43" s="76">
        <v>12</v>
      </c>
      <c r="K43" s="85">
        <f>I43*1.045</f>
        <v>31166.1636</v>
      </c>
      <c r="L43" s="76">
        <v>12</v>
      </c>
      <c r="M43" s="85">
        <f>K43*1.045</f>
        <v>32568.640961999998</v>
      </c>
      <c r="N43" s="79">
        <v>12</v>
      </c>
      <c r="O43" s="85">
        <f>M43*1.045</f>
        <v>34034.229805289993</v>
      </c>
      <c r="P43" s="79"/>
      <c r="Q43" s="78"/>
    </row>
    <row r="44" spans="1:17" ht="38.25" x14ac:dyDescent="0.2">
      <c r="A44" s="94" t="s">
        <v>98</v>
      </c>
      <c r="B44" s="69" t="s">
        <v>99</v>
      </c>
      <c r="C44" s="72"/>
      <c r="D44" s="124" t="s">
        <v>100</v>
      </c>
      <c r="E44" s="83">
        <f t="shared" si="10"/>
        <v>338066.3969397922</v>
      </c>
      <c r="F44" s="74"/>
      <c r="G44" s="75"/>
      <c r="H44" s="76"/>
      <c r="I44" s="84">
        <f>SUM(I43,I49,I50,I51,I56,I57,I58,I59,I60,I65,I66,I67,I68,I69)*0.15</f>
        <v>59543.667000000001</v>
      </c>
      <c r="J44" s="76"/>
      <c r="K44" s="85">
        <f>SUM(K43,K49,K50,K51,K56,K57,K58,K59,K60,K65,K66,K67,K68,K69)*0.15</f>
        <v>88785.626489999995</v>
      </c>
      <c r="L44" s="76"/>
      <c r="M44" s="85">
        <f>SUM(M43,M49,M50,M51,M56,M57,M58,M59,M60,M65,M66,M67,M68,M69)*0.15</f>
        <v>92780.979682049991</v>
      </c>
      <c r="N44" s="79"/>
      <c r="O44" s="85">
        <f>SUM(O43,O49,O50,O51,O56,O57,O58,O59,O60,O65,O66,O67,O68,O69)*0.15</f>
        <v>96956.123767742218</v>
      </c>
      <c r="P44" s="79"/>
      <c r="Q44" s="85"/>
    </row>
    <row r="45" spans="1:17" x14ac:dyDescent="0.2">
      <c r="A45" s="94" t="s">
        <v>101</v>
      </c>
      <c r="B45" s="69" t="s">
        <v>49</v>
      </c>
      <c r="C45" s="72">
        <v>5964</v>
      </c>
      <c r="D45" s="95" t="s">
        <v>102</v>
      </c>
      <c r="E45" s="83">
        <f t="shared" si="10"/>
        <v>326951.11999200005</v>
      </c>
      <c r="F45" s="74"/>
      <c r="G45" s="75"/>
      <c r="H45" s="76">
        <v>10.25</v>
      </c>
      <c r="I45" s="84">
        <f>C45*H45</f>
        <v>61131</v>
      </c>
      <c r="J45" s="76">
        <v>14</v>
      </c>
      <c r="K45" s="85">
        <f>C45*J45*1.03</f>
        <v>86000.88</v>
      </c>
      <c r="L45" s="76">
        <v>14</v>
      </c>
      <c r="M45" s="85">
        <f>K45*1.03</f>
        <v>88580.906400000007</v>
      </c>
      <c r="N45" s="79">
        <v>14</v>
      </c>
      <c r="O45" s="85">
        <f>M45*1.03</f>
        <v>91238.33359200001</v>
      </c>
      <c r="P45" s="79"/>
      <c r="Q45" s="85"/>
    </row>
    <row r="46" spans="1:17" x14ac:dyDescent="0.2">
      <c r="A46" s="94" t="s">
        <v>103</v>
      </c>
      <c r="B46" s="69" t="s">
        <v>53</v>
      </c>
      <c r="C46" s="72">
        <v>51983.21</v>
      </c>
      <c r="D46" s="95" t="s">
        <v>104</v>
      </c>
      <c r="E46" s="96">
        <f t="shared" si="10"/>
        <v>155949.63</v>
      </c>
      <c r="F46" s="74"/>
      <c r="G46" s="75"/>
      <c r="H46" s="76">
        <v>0</v>
      </c>
      <c r="I46" s="84">
        <f>C46*H46</f>
        <v>0</v>
      </c>
      <c r="J46" s="76">
        <v>1</v>
      </c>
      <c r="K46" s="85">
        <v>51983.21</v>
      </c>
      <c r="L46" s="76">
        <v>1</v>
      </c>
      <c r="M46" s="85">
        <v>51983.21</v>
      </c>
      <c r="N46" s="79">
        <v>1</v>
      </c>
      <c r="O46" s="85">
        <v>51983.21</v>
      </c>
      <c r="P46" s="79"/>
      <c r="Q46" s="85"/>
    </row>
    <row r="47" spans="1:17" x14ac:dyDescent="0.2">
      <c r="A47" s="94" t="s">
        <v>105</v>
      </c>
      <c r="B47" s="69" t="s">
        <v>106</v>
      </c>
      <c r="C47" s="72">
        <v>3000</v>
      </c>
      <c r="D47" s="95" t="s">
        <v>60</v>
      </c>
      <c r="E47" s="96">
        <f t="shared" si="10"/>
        <v>12550.881000000001</v>
      </c>
      <c r="F47" s="74"/>
      <c r="G47" s="75"/>
      <c r="H47" s="76">
        <v>1</v>
      </c>
      <c r="I47" s="84">
        <f>C47*H47</f>
        <v>3000</v>
      </c>
      <c r="J47" s="76">
        <v>1</v>
      </c>
      <c r="K47" s="85">
        <f>I47*1.03</f>
        <v>3090</v>
      </c>
      <c r="L47" s="76">
        <v>1</v>
      </c>
      <c r="M47" s="85">
        <f>K47*1.03</f>
        <v>3182.7000000000003</v>
      </c>
      <c r="N47" s="79">
        <v>1</v>
      </c>
      <c r="O47" s="85">
        <f>M47*1.03</f>
        <v>3278.1810000000005</v>
      </c>
      <c r="P47" s="79"/>
      <c r="Q47" s="85"/>
    </row>
    <row r="48" spans="1:17" x14ac:dyDescent="0.2">
      <c r="A48" s="93">
        <v>3.2</v>
      </c>
      <c r="B48" s="71" t="s">
        <v>107</v>
      </c>
      <c r="C48" s="72"/>
      <c r="D48" s="72"/>
      <c r="E48" s="73">
        <f>SUM(E49:E54)</f>
        <v>492515.40979429992</v>
      </c>
      <c r="F48" s="74"/>
      <c r="G48" s="75"/>
      <c r="H48" s="76"/>
      <c r="I48" s="77">
        <f>SUM(I49:I54)</f>
        <v>44889.9</v>
      </c>
      <c r="J48" s="76"/>
      <c r="K48" s="78">
        <f>SUM(K49:K54)</f>
        <v>144266.01199999999</v>
      </c>
      <c r="L48" s="76"/>
      <c r="M48" s="78">
        <f>SUM(M49:M54)</f>
        <v>147403.53253999999</v>
      </c>
      <c r="N48" s="79"/>
      <c r="O48" s="78">
        <f>SUM(O49:O54)</f>
        <v>155955.96525429998</v>
      </c>
      <c r="P48" s="79"/>
      <c r="Q48" s="85"/>
    </row>
    <row r="49" spans="1:17" ht="25.5" x14ac:dyDescent="0.2">
      <c r="A49" s="92" t="s">
        <v>108</v>
      </c>
      <c r="B49" s="69" t="s">
        <v>109</v>
      </c>
      <c r="C49" s="72">
        <v>3345</v>
      </c>
      <c r="D49" s="95" t="s">
        <v>110</v>
      </c>
      <c r="E49" s="96">
        <f t="shared" ref="E49:E54" si="11">SUM(I49,K49,M49,O49)</f>
        <v>152660.09175749996</v>
      </c>
      <c r="F49" s="74"/>
      <c r="G49" s="75"/>
      <c r="H49" s="76">
        <v>9</v>
      </c>
      <c r="I49" s="84">
        <f>0.7*C49*H49</f>
        <v>21073.5</v>
      </c>
      <c r="J49" s="76">
        <v>12</v>
      </c>
      <c r="K49" s="85">
        <f>C49*J49*1.045</f>
        <v>41946.299999999996</v>
      </c>
      <c r="L49" s="76">
        <v>12</v>
      </c>
      <c r="M49" s="85">
        <f>K49*1.045</f>
        <v>43833.883499999989</v>
      </c>
      <c r="N49" s="79">
        <v>12</v>
      </c>
      <c r="O49" s="85">
        <f>M49*1.045</f>
        <v>45806.408257499985</v>
      </c>
      <c r="P49" s="79"/>
      <c r="Q49" s="85"/>
    </row>
    <row r="50" spans="1:17" ht="25.5" x14ac:dyDescent="0.2">
      <c r="A50" s="92" t="s">
        <v>111</v>
      </c>
      <c r="B50" s="97" t="s">
        <v>112</v>
      </c>
      <c r="C50" s="72">
        <v>6154.8</v>
      </c>
      <c r="D50" s="95" t="s">
        <v>113</v>
      </c>
      <c r="E50" s="83">
        <f t="shared" si="11"/>
        <v>260583.72883379995</v>
      </c>
      <c r="F50" s="74"/>
      <c r="G50" s="75"/>
      <c r="H50" s="76">
        <v>3</v>
      </c>
      <c r="I50" s="84">
        <f>C50*H50</f>
        <v>18464.400000000001</v>
      </c>
      <c r="J50" s="76">
        <v>12</v>
      </c>
      <c r="K50" s="85">
        <f>C50*J50*1.045</f>
        <v>77181.191999999995</v>
      </c>
      <c r="L50" s="76">
        <v>12</v>
      </c>
      <c r="M50" s="85">
        <f>K50*1.045</f>
        <v>80654.345639999985</v>
      </c>
      <c r="N50" s="79">
        <v>12</v>
      </c>
      <c r="O50" s="85">
        <f>M50*1.045</f>
        <v>84283.791193799974</v>
      </c>
      <c r="P50" s="79"/>
      <c r="Q50" s="78"/>
    </row>
    <row r="51" spans="1:17" ht="25.5" x14ac:dyDescent="0.2">
      <c r="A51" s="92" t="s">
        <v>114</v>
      </c>
      <c r="B51" s="69" t="s">
        <v>115</v>
      </c>
      <c r="C51" s="72">
        <v>1338</v>
      </c>
      <c r="D51" s="95" t="s">
        <v>116</v>
      </c>
      <c r="E51" s="83">
        <f t="shared" si="11"/>
        <v>57986.636702999996</v>
      </c>
      <c r="F51" s="74"/>
      <c r="G51" s="75"/>
      <c r="H51" s="76">
        <v>4</v>
      </c>
      <c r="I51" s="84">
        <f>C51*H51</f>
        <v>5352</v>
      </c>
      <c r="J51" s="76">
        <v>12</v>
      </c>
      <c r="K51" s="85">
        <f>C51*J51*1.045</f>
        <v>16778.52</v>
      </c>
      <c r="L51" s="76">
        <v>12</v>
      </c>
      <c r="M51" s="85">
        <f>K51*1.045</f>
        <v>17533.553400000001</v>
      </c>
      <c r="N51" s="79">
        <v>12</v>
      </c>
      <c r="O51" s="85">
        <f>M51*1.045</f>
        <v>18322.563302999999</v>
      </c>
      <c r="P51" s="79"/>
      <c r="Q51" s="85"/>
    </row>
    <row r="52" spans="1:17" x14ac:dyDescent="0.2">
      <c r="A52" s="92" t="s">
        <v>117</v>
      </c>
      <c r="B52" s="97" t="s">
        <v>118</v>
      </c>
      <c r="C52" s="72">
        <v>2000</v>
      </c>
      <c r="D52" s="95" t="s">
        <v>60</v>
      </c>
      <c r="E52" s="96">
        <f t="shared" si="11"/>
        <v>2000</v>
      </c>
      <c r="F52" s="74"/>
      <c r="G52" s="75"/>
      <c r="H52" s="76">
        <v>0</v>
      </c>
      <c r="I52" s="84">
        <v>0</v>
      </c>
      <c r="J52" s="76">
        <v>0</v>
      </c>
      <c r="K52" s="85">
        <v>0</v>
      </c>
      <c r="L52" s="76">
        <v>0</v>
      </c>
      <c r="M52" s="85">
        <v>0</v>
      </c>
      <c r="N52" s="79">
        <v>1</v>
      </c>
      <c r="O52" s="85">
        <v>2000</v>
      </c>
      <c r="P52" s="79"/>
      <c r="Q52" s="85"/>
    </row>
    <row r="53" spans="1:17" x14ac:dyDescent="0.2">
      <c r="A53" s="92" t="s">
        <v>119</v>
      </c>
      <c r="B53" s="97" t="s">
        <v>120</v>
      </c>
      <c r="C53" s="72">
        <v>5000</v>
      </c>
      <c r="D53" s="95" t="s">
        <v>60</v>
      </c>
      <c r="E53" s="96">
        <f t="shared" si="11"/>
        <v>16149.952499999999</v>
      </c>
      <c r="F53" s="74"/>
      <c r="G53" s="75"/>
      <c r="H53" s="76">
        <v>0</v>
      </c>
      <c r="I53" s="84">
        <v>0</v>
      </c>
      <c r="J53" s="76">
        <v>1</v>
      </c>
      <c r="K53" s="85">
        <f>C53*J53*1.045</f>
        <v>5225</v>
      </c>
      <c r="L53" s="76">
        <v>1</v>
      </c>
      <c r="M53" s="85">
        <f>K53*1.03</f>
        <v>5381.75</v>
      </c>
      <c r="N53" s="79">
        <v>1</v>
      </c>
      <c r="O53" s="85">
        <f>M53*1.03</f>
        <v>5543.2025000000003</v>
      </c>
      <c r="P53" s="79"/>
      <c r="Q53" s="85"/>
    </row>
    <row r="54" spans="1:17" x14ac:dyDescent="0.2">
      <c r="A54" s="92" t="s">
        <v>121</v>
      </c>
      <c r="B54" s="97" t="s">
        <v>122</v>
      </c>
      <c r="C54" s="72">
        <v>3000</v>
      </c>
      <c r="D54" s="72" t="s">
        <v>123</v>
      </c>
      <c r="E54" s="96">
        <f t="shared" si="11"/>
        <v>3135</v>
      </c>
      <c r="F54" s="74"/>
      <c r="G54" s="75"/>
      <c r="H54" s="76">
        <v>0</v>
      </c>
      <c r="I54" s="84">
        <f>SUM(H54*$C54)</f>
        <v>0</v>
      </c>
      <c r="J54" s="76">
        <v>1</v>
      </c>
      <c r="K54" s="85">
        <f>C54*J54*1.045</f>
        <v>3135</v>
      </c>
      <c r="L54" s="76">
        <v>0</v>
      </c>
      <c r="M54" s="85">
        <f>SUM(L54*$C54)</f>
        <v>0</v>
      </c>
      <c r="N54" s="79">
        <v>0</v>
      </c>
      <c r="O54" s="85">
        <f>SUM(N54*$C54)</f>
        <v>0</v>
      </c>
      <c r="P54" s="79"/>
      <c r="Q54" s="85"/>
    </row>
    <row r="55" spans="1:17" x14ac:dyDescent="0.2">
      <c r="A55" s="93">
        <v>3.3</v>
      </c>
      <c r="B55" s="71" t="s">
        <v>124</v>
      </c>
      <c r="C55" s="98"/>
      <c r="D55" s="98"/>
      <c r="E55" s="73">
        <f>SUM(E56:E63)</f>
        <v>1916120.9098868498</v>
      </c>
      <c r="F55" s="99"/>
      <c r="G55" s="99"/>
      <c r="H55" s="100"/>
      <c r="I55" s="73">
        <f>SUM(I56:I63)</f>
        <v>344791.01800000004</v>
      </c>
      <c r="J55" s="101"/>
      <c r="K55" s="73">
        <f>SUM(K56:K63)</f>
        <v>512093.19</v>
      </c>
      <c r="L55" s="101"/>
      <c r="M55" s="73">
        <f>SUM(M56:M63)</f>
        <v>523607.46992999996</v>
      </c>
      <c r="N55" s="101"/>
      <c r="O55" s="73">
        <f>SUM(O56:O63)</f>
        <v>535629.23195684992</v>
      </c>
      <c r="P55" s="79"/>
      <c r="Q55" s="85"/>
    </row>
    <row r="56" spans="1:17" ht="25.5" x14ac:dyDescent="0.2">
      <c r="A56" s="92" t="s">
        <v>125</v>
      </c>
      <c r="B56" s="69" t="s">
        <v>126</v>
      </c>
      <c r="C56" s="72">
        <v>1003.5</v>
      </c>
      <c r="D56" s="95" t="s">
        <v>127</v>
      </c>
      <c r="E56" s="96">
        <f t="shared" ref="E56:E63" si="12">SUM(I56,K56,M56,O56)</f>
        <v>43489.97752724999</v>
      </c>
      <c r="F56" s="74"/>
      <c r="G56" s="75"/>
      <c r="H56" s="76">
        <v>4</v>
      </c>
      <c r="I56" s="84">
        <f t="shared" ref="I56:I63" si="13">C56*H56</f>
        <v>4014</v>
      </c>
      <c r="J56" s="76">
        <v>12</v>
      </c>
      <c r="K56" s="85">
        <f>C56*J56*1.045</f>
        <v>12583.89</v>
      </c>
      <c r="L56" s="76">
        <v>12</v>
      </c>
      <c r="M56" s="85">
        <f>K56*1.045</f>
        <v>13150.165049999998</v>
      </c>
      <c r="N56" s="79">
        <v>12</v>
      </c>
      <c r="O56" s="85">
        <f>M56*1.045</f>
        <v>13741.922477249997</v>
      </c>
      <c r="P56" s="79"/>
      <c r="Q56" s="85"/>
    </row>
    <row r="57" spans="1:17" ht="25.5" x14ac:dyDescent="0.2">
      <c r="A57" s="92" t="s">
        <v>128</v>
      </c>
      <c r="B57" s="69" t="s">
        <v>129</v>
      </c>
      <c r="C57" s="72">
        <v>4694.7</v>
      </c>
      <c r="D57" s="95" t="s">
        <v>130</v>
      </c>
      <c r="E57" s="83">
        <f t="shared" si="12"/>
        <v>241017.88649444995</v>
      </c>
      <c r="F57" s="74"/>
      <c r="G57" s="75"/>
      <c r="H57" s="76">
        <v>12</v>
      </c>
      <c r="I57" s="84">
        <f t="shared" si="13"/>
        <v>56336.399999999994</v>
      </c>
      <c r="J57" s="76">
        <v>12</v>
      </c>
      <c r="K57" s="85">
        <f>I57*1.045</f>
        <v>58871.537999999993</v>
      </c>
      <c r="L57" s="76">
        <v>12</v>
      </c>
      <c r="M57" s="85">
        <f>K57*1.045</f>
        <v>61520.757209999989</v>
      </c>
      <c r="N57" s="79">
        <v>12</v>
      </c>
      <c r="O57" s="85">
        <f>M57*1.045</f>
        <v>64289.191284449982</v>
      </c>
      <c r="P57" s="79"/>
      <c r="Q57" s="85"/>
    </row>
    <row r="58" spans="1:17" ht="25.5" x14ac:dyDescent="0.2">
      <c r="A58" s="92" t="s">
        <v>131</v>
      </c>
      <c r="B58" s="69" t="s">
        <v>132</v>
      </c>
      <c r="C58" s="72">
        <v>3211.2</v>
      </c>
      <c r="D58" s="95" t="s">
        <v>133</v>
      </c>
      <c r="E58" s="83">
        <f t="shared" si="12"/>
        <v>148801.52808719996</v>
      </c>
      <c r="F58" s="74"/>
      <c r="G58" s="75"/>
      <c r="H58" s="76">
        <v>7</v>
      </c>
      <c r="I58" s="84">
        <f t="shared" si="13"/>
        <v>22478.399999999998</v>
      </c>
      <c r="J58" s="76">
        <v>12</v>
      </c>
      <c r="K58" s="85">
        <f>C58*J58*1.045</f>
        <v>40268.447999999989</v>
      </c>
      <c r="L58" s="76">
        <v>12</v>
      </c>
      <c r="M58" s="85">
        <f>K58*1.045</f>
        <v>42080.528159999987</v>
      </c>
      <c r="N58" s="79">
        <v>12</v>
      </c>
      <c r="O58" s="85">
        <f>M58*1.045</f>
        <v>43974.151927199986</v>
      </c>
      <c r="P58" s="79"/>
      <c r="Q58" s="85"/>
    </row>
    <row r="59" spans="1:17" ht="25.5" x14ac:dyDescent="0.2">
      <c r="A59" s="94" t="s">
        <v>134</v>
      </c>
      <c r="B59" s="69" t="s">
        <v>135</v>
      </c>
      <c r="C59" s="72">
        <v>9232.2000000000007</v>
      </c>
      <c r="D59" s="95" t="s">
        <v>136</v>
      </c>
      <c r="E59" s="83">
        <f t="shared" si="12"/>
        <v>473965.39325069997</v>
      </c>
      <c r="F59" s="74"/>
      <c r="G59" s="75"/>
      <c r="H59" s="76">
        <v>12</v>
      </c>
      <c r="I59" s="84">
        <f t="shared" si="13"/>
        <v>110786.40000000001</v>
      </c>
      <c r="J59" s="76">
        <v>12</v>
      </c>
      <c r="K59" s="85">
        <f>I59*1.045</f>
        <v>115771.788</v>
      </c>
      <c r="L59" s="76">
        <v>12</v>
      </c>
      <c r="M59" s="85">
        <f>K59*1.045</f>
        <v>120981.51845999999</v>
      </c>
      <c r="N59" s="79">
        <v>12</v>
      </c>
      <c r="O59" s="85">
        <f>M59*1.045</f>
        <v>126425.68679069998</v>
      </c>
      <c r="P59" s="101"/>
      <c r="Q59" s="73"/>
    </row>
    <row r="60" spans="1:17" ht="25.5" x14ac:dyDescent="0.2">
      <c r="A60" s="92" t="s">
        <v>137</v>
      </c>
      <c r="B60" s="69" t="s">
        <v>138</v>
      </c>
      <c r="C60" s="72">
        <v>1003.5</v>
      </c>
      <c r="D60" s="95" t="s">
        <v>139</v>
      </c>
      <c r="E60" s="83">
        <f t="shared" si="12"/>
        <v>43489.97752724999</v>
      </c>
      <c r="F60" s="74"/>
      <c r="G60" s="75"/>
      <c r="H60" s="76">
        <v>4</v>
      </c>
      <c r="I60" s="84">
        <f t="shared" si="13"/>
        <v>4014</v>
      </c>
      <c r="J60" s="76">
        <v>12</v>
      </c>
      <c r="K60" s="85">
        <f>C60*J60*1.045</f>
        <v>12583.89</v>
      </c>
      <c r="L60" s="76">
        <v>12</v>
      </c>
      <c r="M60" s="85">
        <f>K60*1.045</f>
        <v>13150.165049999998</v>
      </c>
      <c r="N60" s="79">
        <v>12</v>
      </c>
      <c r="O60" s="85">
        <f>N60*C60*1.045*1.045*1.045</f>
        <v>13741.922477249997</v>
      </c>
      <c r="P60" s="79"/>
      <c r="Q60" s="85"/>
    </row>
    <row r="61" spans="1:17" x14ac:dyDescent="0.2">
      <c r="A61" s="92" t="s">
        <v>140</v>
      </c>
      <c r="B61" s="69" t="s">
        <v>141</v>
      </c>
      <c r="C61" s="72">
        <v>248323.636</v>
      </c>
      <c r="D61" s="95" t="s">
        <v>60</v>
      </c>
      <c r="E61" s="83">
        <f t="shared" si="12"/>
        <v>869132.72600000002</v>
      </c>
      <c r="F61" s="74"/>
      <c r="G61" s="75"/>
      <c r="H61" s="76">
        <v>0.5</v>
      </c>
      <c r="I61" s="84">
        <f t="shared" si="13"/>
        <v>124161.818</v>
      </c>
      <c r="J61" s="76">
        <v>1</v>
      </c>
      <c r="K61" s="85">
        <f>C61*J61</f>
        <v>248323.636</v>
      </c>
      <c r="L61" s="76">
        <v>1</v>
      </c>
      <c r="M61" s="85">
        <f>C61*L61</f>
        <v>248323.636</v>
      </c>
      <c r="N61" s="79">
        <v>1</v>
      </c>
      <c r="O61" s="85">
        <f>C61*N61</f>
        <v>248323.636</v>
      </c>
      <c r="P61" s="79"/>
      <c r="Q61" s="85"/>
    </row>
    <row r="62" spans="1:17" x14ac:dyDescent="0.2">
      <c r="A62" s="92" t="s">
        <v>142</v>
      </c>
      <c r="B62" s="69" t="s">
        <v>120</v>
      </c>
      <c r="C62" s="72">
        <v>11000</v>
      </c>
      <c r="D62" s="95" t="s">
        <v>60</v>
      </c>
      <c r="E62" s="83">
        <f t="shared" si="12"/>
        <v>46019.896999999997</v>
      </c>
      <c r="F62" s="74"/>
      <c r="G62" s="75"/>
      <c r="H62" s="76">
        <v>1</v>
      </c>
      <c r="I62" s="84">
        <f t="shared" si="13"/>
        <v>11000</v>
      </c>
      <c r="J62" s="76">
        <v>1</v>
      </c>
      <c r="K62" s="85">
        <f>I62*1.03</f>
        <v>11330</v>
      </c>
      <c r="L62" s="76">
        <v>1</v>
      </c>
      <c r="M62" s="85">
        <f>K62*1.03</f>
        <v>11669.9</v>
      </c>
      <c r="N62" s="79">
        <v>1</v>
      </c>
      <c r="O62" s="85">
        <f>M62*1.03</f>
        <v>12019.996999999999</v>
      </c>
      <c r="P62" s="79"/>
      <c r="Q62" s="85"/>
    </row>
    <row r="63" spans="1:17" x14ac:dyDescent="0.2">
      <c r="A63" s="92" t="s">
        <v>143</v>
      </c>
      <c r="B63" s="69" t="s">
        <v>122</v>
      </c>
      <c r="C63" s="72">
        <v>3000</v>
      </c>
      <c r="D63" s="95" t="s">
        <v>123</v>
      </c>
      <c r="E63" s="96">
        <f t="shared" si="12"/>
        <v>50203.524000000005</v>
      </c>
      <c r="F63" s="74"/>
      <c r="G63" s="75"/>
      <c r="H63" s="76">
        <v>4</v>
      </c>
      <c r="I63" s="84">
        <f t="shared" si="13"/>
        <v>12000</v>
      </c>
      <c r="J63" s="76">
        <v>4</v>
      </c>
      <c r="K63" s="85">
        <f>I63*1.03</f>
        <v>12360</v>
      </c>
      <c r="L63" s="76">
        <v>4</v>
      </c>
      <c r="M63" s="85">
        <f>K63*1.03</f>
        <v>12730.800000000001</v>
      </c>
      <c r="N63" s="79">
        <v>4</v>
      </c>
      <c r="O63" s="85">
        <f>M63*1.03</f>
        <v>13112.724000000002</v>
      </c>
      <c r="P63" s="79"/>
      <c r="Q63" s="85"/>
    </row>
    <row r="64" spans="1:17" x14ac:dyDescent="0.2">
      <c r="A64" s="102">
        <v>3.4</v>
      </c>
      <c r="B64" s="103" t="s">
        <v>144</v>
      </c>
      <c r="C64" s="100"/>
      <c r="D64" s="98"/>
      <c r="E64" s="73">
        <f>SUM(E65:E72)</f>
        <v>1315113.541050175</v>
      </c>
      <c r="F64" s="99"/>
      <c r="G64" s="99"/>
      <c r="H64" s="100"/>
      <c r="I64" s="73">
        <f>SUM(I65:I72)</f>
        <v>215108.44</v>
      </c>
      <c r="J64" s="101"/>
      <c r="K64" s="73">
        <f>SUM(K65:K72)</f>
        <v>357980.12699999998</v>
      </c>
      <c r="L64" s="101"/>
      <c r="M64" s="73">
        <f>SUM(M65:M72)</f>
        <v>366541.18711499998</v>
      </c>
      <c r="N64" s="101"/>
      <c r="O64" s="73">
        <f>SUM(O65:O72)</f>
        <v>375483.78693517495</v>
      </c>
      <c r="P64" s="79"/>
      <c r="Q64" s="85"/>
    </row>
    <row r="65" spans="1:17" ht="25.5" x14ac:dyDescent="0.2">
      <c r="A65" s="104" t="s">
        <v>145</v>
      </c>
      <c r="B65" s="69" t="s">
        <v>146</v>
      </c>
      <c r="C65" s="105">
        <v>1003.5</v>
      </c>
      <c r="D65" s="106" t="s">
        <v>127</v>
      </c>
      <c r="E65" s="107">
        <f t="shared" ref="E65:E69" si="14">SUM(I65,K65,M65,O65)</f>
        <v>161917.91010899996</v>
      </c>
      <c r="F65" s="108"/>
      <c r="G65" s="109"/>
      <c r="H65" s="110">
        <v>4</v>
      </c>
      <c r="I65" s="111">
        <f t="shared" ref="I65:I70" si="15">C65*H65</f>
        <v>4014</v>
      </c>
      <c r="J65" s="110">
        <v>12</v>
      </c>
      <c r="K65" s="112">
        <f>I65*J58*1.045</f>
        <v>50335.56</v>
      </c>
      <c r="L65" s="110">
        <v>12</v>
      </c>
      <c r="M65" s="112">
        <f>K65*1.045</f>
        <v>52600.660199999991</v>
      </c>
      <c r="N65" s="113">
        <v>12</v>
      </c>
      <c r="O65" s="111">
        <f>M65*1.045</f>
        <v>54967.689908999986</v>
      </c>
      <c r="P65" s="79"/>
      <c r="Q65" s="85"/>
    </row>
    <row r="66" spans="1:17" ht="25.5" x14ac:dyDescent="0.2">
      <c r="A66" s="104" t="s">
        <v>147</v>
      </c>
      <c r="B66" s="69" t="s">
        <v>148</v>
      </c>
      <c r="C66" s="105">
        <v>1052</v>
      </c>
      <c r="D66" s="106" t="s">
        <v>149</v>
      </c>
      <c r="E66" s="107">
        <f t="shared" si="14"/>
        <v>54007.884762000002</v>
      </c>
      <c r="F66" s="108"/>
      <c r="G66" s="109"/>
      <c r="H66" s="110">
        <v>12</v>
      </c>
      <c r="I66" s="111">
        <f t="shared" si="15"/>
        <v>12624</v>
      </c>
      <c r="J66" s="110">
        <v>12</v>
      </c>
      <c r="K66" s="112">
        <f>I66*1.045</f>
        <v>13192.08</v>
      </c>
      <c r="L66" s="110">
        <v>12</v>
      </c>
      <c r="M66" s="112">
        <f>K66*1.045</f>
        <v>13785.723599999999</v>
      </c>
      <c r="N66" s="113">
        <v>12</v>
      </c>
      <c r="O66" s="111">
        <f>M66*1.045</f>
        <v>14406.081161999999</v>
      </c>
      <c r="P66" s="79"/>
      <c r="Q66" s="85"/>
    </row>
    <row r="67" spans="1:17" ht="25.5" x14ac:dyDescent="0.2">
      <c r="A67" s="104" t="s">
        <v>150</v>
      </c>
      <c r="B67" s="69" t="s">
        <v>151</v>
      </c>
      <c r="C67" s="72">
        <v>6154.8</v>
      </c>
      <c r="D67" s="95" t="s">
        <v>152</v>
      </c>
      <c r="E67" s="114">
        <f t="shared" si="14"/>
        <v>315976.92883379996</v>
      </c>
      <c r="F67" s="74"/>
      <c r="G67" s="75"/>
      <c r="H67" s="76">
        <v>12</v>
      </c>
      <c r="I67" s="111">
        <f t="shared" si="15"/>
        <v>73857.600000000006</v>
      </c>
      <c r="J67" s="76">
        <v>12</v>
      </c>
      <c r="K67" s="112">
        <f>I67*1.045</f>
        <v>77181.191999999995</v>
      </c>
      <c r="L67" s="76">
        <v>12</v>
      </c>
      <c r="M67" s="112">
        <f>K67*1.045</f>
        <v>80654.345639999985</v>
      </c>
      <c r="N67" s="79">
        <v>12</v>
      </c>
      <c r="O67" s="111">
        <f>M67*1.045</f>
        <v>84283.791193799974</v>
      </c>
      <c r="P67" s="79"/>
      <c r="Q67" s="85"/>
    </row>
    <row r="68" spans="1:17" ht="25.5" x14ac:dyDescent="0.2">
      <c r="A68" s="104" t="s">
        <v>153</v>
      </c>
      <c r="B68" s="69" t="s">
        <v>154</v>
      </c>
      <c r="C68" s="72">
        <v>3345</v>
      </c>
      <c r="D68" s="95" t="s">
        <v>110</v>
      </c>
      <c r="E68" s="114">
        <f t="shared" si="14"/>
        <v>128794.943818125</v>
      </c>
      <c r="F68" s="74"/>
      <c r="G68" s="75"/>
      <c r="H68" s="76">
        <v>9</v>
      </c>
      <c r="I68" s="111">
        <f t="shared" si="15"/>
        <v>30105</v>
      </c>
      <c r="J68" s="76">
        <v>12</v>
      </c>
      <c r="K68" s="112">
        <f>I68*1.045</f>
        <v>31459.724999999999</v>
      </c>
      <c r="L68" s="76">
        <v>12</v>
      </c>
      <c r="M68" s="112">
        <f>K68*1.045</f>
        <v>32875.412624999997</v>
      </c>
      <c r="N68" s="79">
        <v>12</v>
      </c>
      <c r="O68" s="111">
        <f>M68*1.045</f>
        <v>34354.806193124998</v>
      </c>
      <c r="P68" s="79"/>
      <c r="Q68" s="85"/>
    </row>
    <row r="69" spans="1:17" ht="25.5" x14ac:dyDescent="0.2">
      <c r="A69" s="104" t="s">
        <v>155</v>
      </c>
      <c r="B69" s="69" t="s">
        <v>156</v>
      </c>
      <c r="C69" s="72">
        <v>1003.5</v>
      </c>
      <c r="D69" s="95" t="s">
        <v>139</v>
      </c>
      <c r="E69" s="114">
        <f t="shared" si="14"/>
        <v>43489.97752724999</v>
      </c>
      <c r="F69" s="74"/>
      <c r="G69" s="75"/>
      <c r="H69" s="76">
        <v>4</v>
      </c>
      <c r="I69" s="111">
        <f t="shared" si="15"/>
        <v>4014</v>
      </c>
      <c r="J69" s="76">
        <v>12</v>
      </c>
      <c r="K69" s="112">
        <f>C69*J69*1.045</f>
        <v>12583.89</v>
      </c>
      <c r="L69" s="76">
        <v>12</v>
      </c>
      <c r="M69" s="112">
        <f>K69*1.045</f>
        <v>13150.165049999998</v>
      </c>
      <c r="N69" s="79">
        <v>12</v>
      </c>
      <c r="O69" s="111">
        <f>N69*C69*1.045*1.045*1.045</f>
        <v>13741.922477249997</v>
      </c>
      <c r="P69" s="79"/>
      <c r="Q69" s="85"/>
    </row>
    <row r="70" spans="1:17" x14ac:dyDescent="0.2">
      <c r="A70" s="104" t="s">
        <v>157</v>
      </c>
      <c r="B70" s="69" t="s">
        <v>141</v>
      </c>
      <c r="C70" s="72">
        <v>164987.68</v>
      </c>
      <c r="D70" s="98" t="s">
        <v>60</v>
      </c>
      <c r="E70" s="114">
        <f>SUM(I70,K70,M70,O70)</f>
        <v>577456.87999999989</v>
      </c>
      <c r="F70" s="115"/>
      <c r="G70" s="115"/>
      <c r="H70" s="116">
        <v>0.5</v>
      </c>
      <c r="I70" s="111">
        <f t="shared" si="15"/>
        <v>82493.84</v>
      </c>
      <c r="J70" s="116">
        <v>1</v>
      </c>
      <c r="K70" s="96">
        <f>C70*J70</f>
        <v>164987.68</v>
      </c>
      <c r="L70" s="116">
        <v>1</v>
      </c>
      <c r="M70" s="96">
        <f>C70*L70</f>
        <v>164987.68</v>
      </c>
      <c r="N70" s="116">
        <v>1</v>
      </c>
      <c r="O70" s="96">
        <f>C70*N70</f>
        <v>164987.68</v>
      </c>
      <c r="P70" s="101"/>
      <c r="Q70" s="73"/>
    </row>
    <row r="71" spans="1:17" x14ac:dyDescent="0.2">
      <c r="A71" s="104" t="s">
        <v>158</v>
      </c>
      <c r="B71" s="69" t="s">
        <v>159</v>
      </c>
      <c r="C71" s="105">
        <v>5000</v>
      </c>
      <c r="D71" s="106" t="s">
        <v>60</v>
      </c>
      <c r="E71" s="114">
        <f>SUM(I71,K71,M71,O71)</f>
        <v>20918.135000000002</v>
      </c>
      <c r="F71" s="108"/>
      <c r="G71" s="109"/>
      <c r="H71" s="110">
        <v>1</v>
      </c>
      <c r="I71" s="111">
        <v>5000</v>
      </c>
      <c r="J71" s="110">
        <v>1</v>
      </c>
      <c r="K71" s="112">
        <f>I71*1.03</f>
        <v>5150</v>
      </c>
      <c r="L71" s="110">
        <v>1</v>
      </c>
      <c r="M71" s="112">
        <f>K71*1.03</f>
        <v>5304.5</v>
      </c>
      <c r="N71" s="113">
        <v>1</v>
      </c>
      <c r="O71" s="111">
        <f>M71*1.03</f>
        <v>5463.6350000000002</v>
      </c>
      <c r="P71" s="113"/>
      <c r="Q71" s="111"/>
    </row>
    <row r="72" spans="1:17" ht="15" thickBot="1" x14ac:dyDescent="0.25">
      <c r="A72" s="104" t="s">
        <v>160</v>
      </c>
      <c r="B72" s="69" t="s">
        <v>122</v>
      </c>
      <c r="C72" s="72">
        <v>3000</v>
      </c>
      <c r="D72" s="95" t="s">
        <v>123</v>
      </c>
      <c r="E72" s="96">
        <f>SUM(I72,K72,M72,O72)</f>
        <v>12550.881000000001</v>
      </c>
      <c r="F72" s="74"/>
      <c r="G72" s="75"/>
      <c r="H72" s="76">
        <v>1</v>
      </c>
      <c r="I72" s="84">
        <f>C72*H72</f>
        <v>3000</v>
      </c>
      <c r="J72" s="76">
        <v>1</v>
      </c>
      <c r="K72" s="85">
        <f>I72*1.03</f>
        <v>3090</v>
      </c>
      <c r="L72" s="76">
        <v>1</v>
      </c>
      <c r="M72" s="85">
        <f>K72*1.03</f>
        <v>3182.7000000000003</v>
      </c>
      <c r="N72" s="79">
        <v>1</v>
      </c>
      <c r="O72" s="85">
        <f>M72*1.03</f>
        <v>3278.1810000000005</v>
      </c>
      <c r="P72" s="113"/>
      <c r="Q72" s="111"/>
    </row>
    <row r="73" spans="1:17" ht="15" thickBot="1" x14ac:dyDescent="0.25">
      <c r="A73" s="20"/>
      <c r="B73" s="21" t="s">
        <v>161</v>
      </c>
      <c r="C73" s="27"/>
      <c r="D73" s="27"/>
      <c r="E73" s="22">
        <f>E8+E18+E41</f>
        <v>8447107.0030304082</v>
      </c>
      <c r="F73" s="26">
        <f>G73*C7/E73</f>
        <v>0.84999999999999987</v>
      </c>
      <c r="G73" s="49">
        <f>G8+G18+G41</f>
        <v>6929999.6357194521</v>
      </c>
      <c r="H73" s="23"/>
      <c r="I73" s="49">
        <f>I8+I18+I41</f>
        <v>2257724.105</v>
      </c>
      <c r="J73" s="23"/>
      <c r="K73" s="24">
        <f>K8+K18+K41</f>
        <v>2055791.20909</v>
      </c>
      <c r="L73" s="23"/>
      <c r="M73" s="24">
        <f>M8+M18+M41</f>
        <v>2084344.6266290499</v>
      </c>
      <c r="N73" s="64"/>
      <c r="O73" s="22">
        <f>O8+O18+O41</f>
        <v>2038127.0623113569</v>
      </c>
      <c r="P73" s="64"/>
      <c r="Q73" s="22">
        <f>Q8+Q18+Q41</f>
        <v>11120</v>
      </c>
    </row>
    <row r="75" spans="1:17" ht="75.75" customHeight="1" x14ac:dyDescent="0.2">
      <c r="B75" s="126" t="s">
        <v>162</v>
      </c>
      <c r="C75" s="126"/>
      <c r="D75" s="126"/>
      <c r="E75" s="126"/>
      <c r="F75" s="126"/>
      <c r="G75" s="126"/>
      <c r="H75" s="126"/>
      <c r="I75" s="126"/>
      <c r="J75" s="126"/>
      <c r="K75" s="126"/>
      <c r="L75" s="126"/>
      <c r="M75" s="126"/>
      <c r="N75" s="126"/>
      <c r="O75" s="126"/>
      <c r="P75" s="126"/>
      <c r="Q75" s="126"/>
    </row>
  </sheetData>
  <mergeCells count="1">
    <mergeCell ref="B75:Q75"/>
  </mergeCells>
  <dataValidations disablePrompts="1" count="1">
    <dataValidation type="list" allowBlank="1" showInputMessage="1" showErrorMessage="1" sqref="C5" xr:uid="{00000000-0002-0000-0000-000000000000}">
      <formula1>"EUR, BGN, CZK, HUF,PLN,RON"</formula1>
    </dataValidation>
  </dataValidations>
  <pageMargins left="0.7" right="0.7" top="0.78740157499999996" bottom="0.78740157499999996" header="0.3" footer="0.3"/>
  <pageSetup paperSize="9" scale="62" fitToHeight="0" orientation="landscape" r:id="rId1"/>
  <headerFooter>
    <oddFooter>&amp;Ltemplate v13.7.23</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495cadb-a861-45e4-a218-a256843372b9">
      <Terms xmlns="http://schemas.microsoft.com/office/infopath/2007/PartnerControls"/>
    </lcf76f155ced4ddcb4097134ff3c332f>
    <TaxCatchAll xmlns="4332cad1-808f-4a89-89e2-a0168400b5f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009C757D987E4689491E3EB50B9C39" ma:contentTypeVersion="10" ma:contentTypeDescription="Create a new document." ma:contentTypeScope="" ma:versionID="874b3a71a67180cd43e1e147d5bd2be2">
  <xsd:schema xmlns:xsd="http://www.w3.org/2001/XMLSchema" xmlns:xs="http://www.w3.org/2001/XMLSchema" xmlns:p="http://schemas.microsoft.com/office/2006/metadata/properties" xmlns:ns2="2495cadb-a861-45e4-a218-a256843372b9" xmlns:ns3="4332cad1-808f-4a89-89e2-a0168400b5f3" targetNamespace="http://schemas.microsoft.com/office/2006/metadata/properties" ma:root="true" ma:fieldsID="96fa7de020a2f63203a85da5c7396ec0" ns2:_="" ns3:_="">
    <xsd:import namespace="2495cadb-a861-45e4-a218-a256843372b9"/>
    <xsd:import namespace="4332cad1-808f-4a89-89e2-a0168400b5f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95cadb-a861-45e4-a218-a256843372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d040227-3b06-4173-ae46-9604ed6ae55c"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332cad1-808f-4a89-89e2-a0168400b5f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f7b73de-e0b8-400c-9e64-e82da281675d}" ma:internalName="TaxCatchAll" ma:showField="CatchAllData" ma:web="4332cad1-808f-4a89-89e2-a0168400b5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04F4BF-AFFB-4861-921D-DBFDAE72F4A5}">
  <ds:schemaRefs>
    <ds:schemaRef ds:uri="http://schemas.microsoft.com/office/2006/metadata/properties"/>
    <ds:schemaRef ds:uri="http://schemas.microsoft.com/office/infopath/2007/PartnerControls"/>
    <ds:schemaRef ds:uri="2495cadb-a861-45e4-a218-a256843372b9"/>
    <ds:schemaRef ds:uri="4332cad1-808f-4a89-89e2-a0168400b5f3"/>
  </ds:schemaRefs>
</ds:datastoreItem>
</file>

<file path=customXml/itemProps2.xml><?xml version="1.0" encoding="utf-8"?>
<ds:datastoreItem xmlns:ds="http://schemas.openxmlformats.org/officeDocument/2006/customXml" ds:itemID="{93249BC7-D825-4E00-9BB0-B4C941E46E75}">
  <ds:schemaRefs>
    <ds:schemaRef ds:uri="http://schemas.microsoft.com/sharepoint/v3/contenttype/forms"/>
  </ds:schemaRefs>
</ds:datastoreItem>
</file>

<file path=customXml/itemProps3.xml><?xml version="1.0" encoding="utf-8"?>
<ds:datastoreItem xmlns:ds="http://schemas.openxmlformats.org/officeDocument/2006/customXml" ds:itemID="{1A6F9145-F696-43F3-A349-ACAE400028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95cadb-a861-45e4-a218-a256843372b9"/>
    <ds:schemaRef ds:uri="4332cad1-808f-4a89-89e2-a0168400b5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Budget</vt:lpstr>
    </vt:vector>
  </TitlesOfParts>
  <Manager/>
  <Company>Bundesverwaltung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Wey Paula SECO</dc:creator>
  <cp:keywords/>
  <dc:description/>
  <cp:lastModifiedBy>Kairi Toiger</cp:lastModifiedBy>
  <cp:revision/>
  <dcterms:created xsi:type="dcterms:W3CDTF">2022-09-30T08:04:20Z</dcterms:created>
  <dcterms:modified xsi:type="dcterms:W3CDTF">2024-02-05T11:02:48Z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0x0101005B009C757D987E4689491E3EB50B9C39</vt:lpwstr>
  </property>
  <property fmtid="{D5CDD505-2E9C-101B-9397-08002B2CF9AE}" pid="3" name="MediaServiceImageTags">
    <vt:lpwstr/>
  </property>
</Properties>
</file>